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360" yWindow="195" windowWidth="11340" windowHeight="6360" tabRatio="514" activeTab="1"/>
  </bookViews>
  <sheets>
    <sheet name="01" sheetId="1" r:id="rId1"/>
    <sheet name="41" sheetId="2" r:id="rId2"/>
    <sheet name="40" sheetId="3" r:id="rId3"/>
    <sheet name="42" sheetId="4" r:id="rId4"/>
    <sheet name="03" sheetId="5" r:id="rId5"/>
    <sheet name="10" sheetId="6" r:id="rId6"/>
    <sheet name="38" sheetId="7" r:id="rId7"/>
    <sheet name="05" sheetId="8" r:id="rId8"/>
    <sheet name="07CE" sheetId="9" r:id="rId9"/>
    <sheet name="11" sheetId="10" r:id="rId10"/>
    <sheet name="16" sheetId="11" r:id="rId11"/>
    <sheet name="28" sheetId="12" r:id="rId12"/>
    <sheet name="32" sheetId="13" r:id="rId13"/>
    <sheet name="33" sheetId="14" r:id="rId14"/>
    <sheet name="34" sheetId="15" r:id="rId15"/>
    <sheet name="39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1_JUD" localSheetId="10">'[7]10'!#REF!</definedName>
    <definedName name="A1_JUD" localSheetId="15">'[3]10'!#REF!</definedName>
    <definedName name="A1_JUD" localSheetId="2">'[4]10'!#REF!</definedName>
    <definedName name="A1_JUD" localSheetId="3">'[4]10'!#REF!</definedName>
    <definedName name="A1_JUD">'10'!#REF!</definedName>
    <definedName name="A1_MAG" localSheetId="10">'[7]10'!$CF$11</definedName>
    <definedName name="A1_MAG" localSheetId="15">'[3]10'!$CF$11</definedName>
    <definedName name="A1_MAG" localSheetId="2">'[4]10'!$CF$11</definedName>
    <definedName name="A1_MAG" localSheetId="3">'[4]10'!$CF$11</definedName>
    <definedName name="A1_MAG">'10'!$CF$11</definedName>
    <definedName name="A1_MAG_AR" localSheetId="10">'[7]10'!#REF!</definedName>
    <definedName name="A1_MAG_AR" localSheetId="15">'[3]10'!#REF!</definedName>
    <definedName name="A1_MAG_AR" localSheetId="2">'[4]10'!#REF!</definedName>
    <definedName name="A1_MAG_AR" localSheetId="3">'[4]10'!#REF!</definedName>
    <definedName name="A1_MAG_AR">'10'!#REF!</definedName>
    <definedName name="A1_MAG_JUD" localSheetId="10">'[7]10'!#REF!</definedName>
    <definedName name="A1_MAG_JUD" localSheetId="15">'[3]10'!#REF!</definedName>
    <definedName name="A1_MAG_JUD" localSheetId="2">'[4]10'!#REF!</definedName>
    <definedName name="A1_MAG_JUD" localSheetId="3">'[4]10'!#REF!</definedName>
    <definedName name="A1_MAG_JUD">'10'!#REF!</definedName>
    <definedName name="A5_MAG_AR" localSheetId="10">'[7]10'!#REF!</definedName>
    <definedName name="A5_MAG_AR" localSheetId="15">'[3]10'!#REF!</definedName>
    <definedName name="A5_MAG_AR" localSheetId="2">'[4]10'!#REF!</definedName>
    <definedName name="A5_MAG_AR" localSheetId="3">'[4]10'!#REF!</definedName>
    <definedName name="A5_MAG_AR">'10'!#REF!</definedName>
    <definedName name="ABONO_EXCEPCIONAL" localSheetId="10">'[7]01'!$CB$26</definedName>
    <definedName name="ABONO_EXCEPCIONAL" localSheetId="15">'[3]01'!$BU$26</definedName>
    <definedName name="ABONO_EXCEPCIONAL" localSheetId="2">'[4]01'!$BU$26</definedName>
    <definedName name="ABONO_EXCEPCIONAL" localSheetId="3">'[4]01'!$BU$26</definedName>
    <definedName name="ABONO_EXCEPCIONAL">'01'!$CB$26</definedName>
    <definedName name="ABONO_FAMILIA" localSheetId="10">'[7]01'!$CB$23</definedName>
    <definedName name="ABONO_FAMILIA" localSheetId="15">'[3]01'!$BU$23</definedName>
    <definedName name="ABONO_FAMILIA" localSheetId="2">'[4]01'!$BU$23</definedName>
    <definedName name="ABONO_FAMILIA" localSheetId="3">'[4]01'!$BU$23</definedName>
    <definedName name="ABONO_FAMILIA">'01'!$CB$23</definedName>
    <definedName name="AGENTE_FISCAL_B">'11'!$P$71</definedName>
    <definedName name="_xlnm.Print_Area" localSheetId="0">'01'!$O$2:$Z$60</definedName>
    <definedName name="_xlnm.Print_Area" localSheetId="4">'03'!$P$3:$X$66</definedName>
    <definedName name="_xlnm.Print_Area" localSheetId="7">'05'!$BB$2:$BI$62</definedName>
    <definedName name="_xlnm.Print_Area" localSheetId="8">'07CE'!$Z$2:$AJ$62</definedName>
    <definedName name="_xlnm.Print_Area" localSheetId="5">'10'!$EU$2:$FB$62</definedName>
    <definedName name="_xlnm.Print_Area" localSheetId="9">'11'!$M$2:$Q$63</definedName>
    <definedName name="_xlnm.Print_Area" localSheetId="10">'16'!$E$2:$Q$70</definedName>
    <definedName name="_xlnm.Print_Area" localSheetId="11">'28'!$N$2:$R$51</definedName>
    <definedName name="_xlnm.Print_Area" localSheetId="12">'32'!$E$2:$K$45</definedName>
    <definedName name="_xlnm.Print_Area" localSheetId="13">'33'!$E$2:$K$40</definedName>
    <definedName name="_xlnm.Print_Area" localSheetId="14">'34'!$AA$2:$AG$35</definedName>
    <definedName name="_xlnm.Print_Area" localSheetId="6">'38'!$E$2:$N$57</definedName>
    <definedName name="_xlnm.Print_Area" localSheetId="15">'39'!$E$2:$U$41</definedName>
    <definedName name="aula_dada_bmpc" localSheetId="4">'03'!$W$50:$W$51</definedName>
    <definedName name="aula_dada_bmpc">#REF!</definedName>
    <definedName name="BASE_GD" localSheetId="10">'[7]10'!#REF!</definedName>
    <definedName name="BASE_GD" localSheetId="15">'[3]10'!#REF!</definedName>
    <definedName name="BASE_GD" localSheetId="2">'[4]10'!#REF!</definedName>
    <definedName name="BASE_GD" localSheetId="3">'[4]10'!#REF!</definedName>
    <definedName name="BASE_GD">'10'!#REF!</definedName>
    <definedName name="BASE_MAG">'10'!$CJ$49</definedName>
    <definedName name="BASE_MAG_ANT" localSheetId="10">'[7]10'!#REF!</definedName>
    <definedName name="BASE_MAG_ANT" localSheetId="15">'[3]10'!#REF!</definedName>
    <definedName name="BASE_MAG_ANT" localSheetId="2">'[4]10'!#REF!</definedName>
    <definedName name="BASE_MAG_ANT" localSheetId="3">'[4]10'!#REF!</definedName>
    <definedName name="BASE_MAG_ANT">'10'!#REF!</definedName>
    <definedName name="BASE_MAG_JUD" localSheetId="10">'[7]10'!#REF!</definedName>
    <definedName name="BASE_MAG_JUD" localSheetId="15">'[3]10'!#REF!</definedName>
    <definedName name="BASE_MAG_JUD" localSheetId="2">'[4]10'!#REF!</definedName>
    <definedName name="BASE_MAG_JUD" localSheetId="3">'[4]10'!#REF!</definedName>
    <definedName name="BASE_MAG_JUD">'10'!#REF!</definedName>
    <definedName name="BASE_MAG_JUD_ANT" localSheetId="10">'[7]10'!#REF!</definedName>
    <definedName name="BASE_MAG_JUD_ANT" localSheetId="15">'[3]10'!#REF!</definedName>
    <definedName name="BASE_MAG_JUD_ANT" localSheetId="2">'[4]10'!#REF!</definedName>
    <definedName name="BASE_MAG_JUD_ANT" localSheetId="3">'[4]10'!#REF!</definedName>
    <definedName name="BASE_MAG_JUD_ANT">'10'!#REF!</definedName>
    <definedName name="BASE_PREV" localSheetId="10">'[7]01'!$B$11</definedName>
    <definedName name="BASE_PREV" localSheetId="15">'[3]01'!$B$11</definedName>
    <definedName name="BASE_PREV" localSheetId="2">'[4]01'!$B$11</definedName>
    <definedName name="BASE_PREV" localSheetId="3">'[4]01'!$B$11</definedName>
    <definedName name="BASE_PREV">'01'!$B$11</definedName>
    <definedName name="BASE_PREV2" localSheetId="10">'[7]01'!$B$12</definedName>
    <definedName name="BASE_PREV2" localSheetId="15">'[3]01'!$B$12</definedName>
    <definedName name="BASE_PREV2" localSheetId="2">'[4]01'!$B$12</definedName>
    <definedName name="BASE_PREV2" localSheetId="3">'[4]01'!$B$12</definedName>
    <definedName name="BASE_PREV2">'01'!$B$12</definedName>
    <definedName name="Capitão" localSheetId="4">'03'!#REF!</definedName>
    <definedName name="Capitão">#REF!</definedName>
    <definedName name="Capitão_total" localSheetId="4">'03'!#REF!</definedName>
    <definedName name="Capitão_total">#REF!</definedName>
    <definedName name="CCJ_04" localSheetId="10">'[7]10'!#REF!</definedName>
    <definedName name="CCJ_04" localSheetId="15">'[3]10'!#REF!</definedName>
    <definedName name="CCJ_04" localSheetId="2">'[4]10'!#REF!</definedName>
    <definedName name="CCJ_04" localSheetId="3">'[4]10'!#REF!</definedName>
    <definedName name="CCJ_04">'10'!#REF!</definedName>
    <definedName name="CHEFE_POLICIA" localSheetId="4">'03'!#REF!</definedName>
    <definedName name="CHEFE_POLICIA">#REF!</definedName>
    <definedName name="DESEMBARGADOR" localSheetId="10">'[7]05'!#REF!</definedName>
    <definedName name="DESEMBARGADOR" localSheetId="15">'[3]05'!#REF!</definedName>
    <definedName name="DESEMBARGADOR" localSheetId="2">'[4]05'!#REF!</definedName>
    <definedName name="DESEMBARGADOR" localSheetId="3">'[4]05'!#REF!</definedName>
    <definedName name="DESEMBARGADOR">'05'!#REF!</definedName>
    <definedName name="FG_01" localSheetId="10">'[7]10'!#REF!</definedName>
    <definedName name="FG_01" localSheetId="15">'[3]10'!#REF!</definedName>
    <definedName name="FG_01" localSheetId="2">'[4]10'!#REF!</definedName>
    <definedName name="FG_01" localSheetId="3">'[4]10'!#REF!</definedName>
    <definedName name="FG_01">'10'!#REF!</definedName>
    <definedName name="FG_02" localSheetId="10">'[7]10'!#REF!</definedName>
    <definedName name="FG_02" localSheetId="15">'[3]10'!#REF!</definedName>
    <definedName name="FG_02" localSheetId="2">'[4]10'!#REF!</definedName>
    <definedName name="FG_02" localSheetId="3">'[4]10'!#REF!</definedName>
    <definedName name="FG_02">'10'!#REF!</definedName>
    <definedName name="FG_03" localSheetId="10">'[7]10'!#REF!</definedName>
    <definedName name="FG_03" localSheetId="15">'[3]10'!#REF!</definedName>
    <definedName name="FG_03" localSheetId="2">'[4]10'!#REF!</definedName>
    <definedName name="FG_03" localSheetId="3">'[4]10'!#REF!</definedName>
    <definedName name="FG_03">'10'!#REF!</definedName>
    <definedName name="FG_04" localSheetId="10">'[7]10'!#REF!</definedName>
    <definedName name="FG_04" localSheetId="15">'[3]10'!#REF!</definedName>
    <definedName name="FG_04" localSheetId="2">'[4]10'!#REF!</definedName>
    <definedName name="FG_04" localSheetId="3">'[4]10'!#REF!</definedName>
    <definedName name="FG_04">'10'!#REF!</definedName>
    <definedName name="FG_05" localSheetId="10">'[7]10'!#REF!</definedName>
    <definedName name="FG_05" localSheetId="15">'[3]10'!#REF!</definedName>
    <definedName name="FG_05" localSheetId="2">'[4]10'!#REF!</definedName>
    <definedName name="FG_05" localSheetId="3">'[4]10'!#REF!</definedName>
    <definedName name="FG_05">'10'!#REF!</definedName>
    <definedName name="FG_06" localSheetId="10">'[7]10'!#REF!</definedName>
    <definedName name="FG_06" localSheetId="15">'[3]10'!#REF!</definedName>
    <definedName name="FG_06" localSheetId="2">'[4]10'!#REF!</definedName>
    <definedName name="FG_06" localSheetId="3">'[4]10'!#REF!</definedName>
    <definedName name="FG_06">'10'!#REF!</definedName>
    <definedName name="FG_07" localSheetId="10">'[7]10'!#REF!</definedName>
    <definedName name="FG_07" localSheetId="15">'[3]10'!#REF!</definedName>
    <definedName name="FG_07" localSheetId="2">'[4]10'!#REF!</definedName>
    <definedName name="FG_07" localSheetId="3">'[4]10'!#REF!</definedName>
    <definedName name="FG_07">'10'!#REF!</definedName>
    <definedName name="FG_08" localSheetId="10">'[7]10'!#REF!</definedName>
    <definedName name="FG_08" localSheetId="15">'[3]10'!#REF!</definedName>
    <definedName name="FG_08" localSheetId="2">'[4]10'!#REF!</definedName>
    <definedName name="FG_08" localSheetId="3">'[4]10'!#REF!</definedName>
    <definedName name="FG_08">'10'!#REF!</definedName>
    <definedName name="FG_09" localSheetId="10">'[7]10'!#REF!</definedName>
    <definedName name="FG_09" localSheetId="15">'[3]10'!#REF!</definedName>
    <definedName name="FG_09" localSheetId="2">'[4]10'!#REF!</definedName>
    <definedName name="FG_09" localSheetId="3">'[4]10'!#REF!</definedName>
    <definedName name="FG_09">'10'!#REF!</definedName>
    <definedName name="FG_10" localSheetId="10">'[7]10'!#REF!</definedName>
    <definedName name="FG_10" localSheetId="15">'[3]10'!#REF!</definedName>
    <definedName name="FG_10" localSheetId="2">'[4]10'!#REF!</definedName>
    <definedName name="FG_10" localSheetId="3">'[4]10'!#REF!</definedName>
    <definedName name="FG_10">'10'!#REF!</definedName>
    <definedName name="FG_TJ10" localSheetId="10">'[7]10'!#REF!</definedName>
    <definedName name="FG_TJ10" localSheetId="15">'[3]10'!#REF!</definedName>
    <definedName name="FG_TJ10" localSheetId="2">'[4]10'!#REF!</definedName>
    <definedName name="FG_TJ10" localSheetId="3">'[4]10'!#REF!</definedName>
    <definedName name="FG_TJ10">'10'!#REF!</definedName>
    <definedName name="FGBM07" localSheetId="4">'[2]10'!$EW$27</definedName>
    <definedName name="FGBM07">'10'!$DN$27</definedName>
    <definedName name="FGPC_07" localSheetId="10">'[7]10'!#REF!</definedName>
    <definedName name="FGPC_07" localSheetId="15">'[3]10'!#REF!</definedName>
    <definedName name="FGPC_07" localSheetId="2">'[4]10'!#REF!</definedName>
    <definedName name="FGPC_07" localSheetId="3">'[4]10'!#REF!</definedName>
    <definedName name="FGPC_07">'10'!#REF!</definedName>
    <definedName name="GAF" localSheetId="10">'[7]11'!#REF!</definedName>
    <definedName name="GAF" localSheetId="15">'[3]11'!#REF!</definedName>
    <definedName name="GAF" localSheetId="2">'[4]11'!#REF!</definedName>
    <definedName name="GAF" localSheetId="3">'[4]11'!#REF!</definedName>
    <definedName name="GAF">'11'!#REF!</definedName>
    <definedName name="GD_01" localSheetId="10">'[7]10'!#REF!</definedName>
    <definedName name="GD_01" localSheetId="15">'[3]10'!#REF!</definedName>
    <definedName name="GD_01" localSheetId="2">'[4]10'!#REF!</definedName>
    <definedName name="GD_01" localSheetId="3">'[4]10'!#REF!</definedName>
    <definedName name="GD_01">'10'!#REF!</definedName>
    <definedName name="GIT_20" localSheetId="10">'[7]01'!#REF!</definedName>
    <definedName name="GIT_20" localSheetId="15">'[3]01'!#REF!</definedName>
    <definedName name="GIT_20" localSheetId="2">'[4]01'!#REF!</definedName>
    <definedName name="GIT_20" localSheetId="3">'[4]01'!#REF!</definedName>
    <definedName name="GIT_20">'01'!#REF!</definedName>
    <definedName name="GIT_30" localSheetId="10">'[7]01'!#REF!</definedName>
    <definedName name="GIT_30" localSheetId="15">'[3]01'!#REF!</definedName>
    <definedName name="GIT_30" localSheetId="2">'[4]01'!#REF!</definedName>
    <definedName name="GIT_30" localSheetId="3">'[4]01'!#REF!</definedName>
    <definedName name="GIT_30">'01'!#REF!</definedName>
    <definedName name="GIT_40" localSheetId="10">'[7]01'!#REF!</definedName>
    <definedName name="GIT_40" localSheetId="15">'[3]01'!#REF!</definedName>
    <definedName name="GIT_40" localSheetId="2">'[4]01'!#REF!</definedName>
    <definedName name="GIT_40" localSheetId="3">'[4]01'!#REF!</definedName>
    <definedName name="GIT_40">'01'!#REF!</definedName>
    <definedName name="GPR">'11'!$P$65</definedName>
    <definedName name="GPRI" localSheetId="10">'[7]11'!$P$66</definedName>
    <definedName name="GPRI" localSheetId="15">'[3]11'!$P$66</definedName>
    <definedName name="GPRI" localSheetId="2">'[4]11'!$P$66</definedName>
    <definedName name="GPRI" localSheetId="3">'[4]11'!$P$66</definedName>
    <definedName name="GPRI">'11'!$P$66</definedName>
    <definedName name="GPRIPPA" localSheetId="10">'[7]11'!$P$67</definedName>
    <definedName name="GPRIPPA" localSheetId="15">'[3]11'!$P$67</definedName>
    <definedName name="GPRIPPA" localSheetId="2">'[4]11'!$P$67</definedName>
    <definedName name="GPRIPPA" localSheetId="3">'[4]11'!$P$67</definedName>
    <definedName name="GPRIPPA">'11'!$P$67</definedName>
    <definedName name="INC_25_FGPC_CAPPM" localSheetId="4">'[2]10'!$C$32</definedName>
    <definedName name="INC_25_FGPC_CAPPM" localSheetId="10">'[7]10'!#REF!</definedName>
    <definedName name="INC_25_FGPC_CAPPM" localSheetId="15">'[3]10'!#REF!</definedName>
    <definedName name="INC_25_FGPC_CAPPM" localSheetId="2">'[4]10'!#REF!</definedName>
    <definedName name="INC_25_FGPC_CAPPM" localSheetId="3">'[4]10'!#REF!</definedName>
    <definedName name="INC_25_FGPC_CAPPM">'10'!#REF!</definedName>
    <definedName name="INC_FGCAP2" localSheetId="10">'[7]03'!#REF!</definedName>
    <definedName name="INC_FGCAP2" localSheetId="15">'[3]03'!#REF!</definedName>
    <definedName name="INC_FGCAP2" localSheetId="2">'[4]03'!#REF!</definedName>
    <definedName name="INC_FGCAP2" localSheetId="3">'[4]03'!#REF!</definedName>
    <definedName name="INC_FGCAP2">'03'!#REF!</definedName>
    <definedName name="IND_01_22" localSheetId="15">'39'!#REF!</definedName>
    <definedName name="IND_01_22" localSheetId="2">#REF!</definedName>
    <definedName name="IND_01_22">#REF!</definedName>
    <definedName name="IND_23_58" localSheetId="15">'39'!#REF!</definedName>
    <definedName name="IND_23_58" localSheetId="2">#REF!</definedName>
    <definedName name="IND_23_58">#REF!</definedName>
    <definedName name="IND_AL" localSheetId="10">'[7]28'!#REF!</definedName>
    <definedName name="IND_AL" localSheetId="15">'[3]28'!#REF!</definedName>
    <definedName name="IND_AL" localSheetId="2">'[4]28'!#REF!</definedName>
    <definedName name="IND_AL" localSheetId="3">'[4]28'!#REF!</definedName>
    <definedName name="IND_AL">'28'!#REF!</definedName>
    <definedName name="IND_AULA_DADA" localSheetId="4">'03'!#REF!</definedName>
    <definedName name="IND_AULA_DADA">#REF!</definedName>
    <definedName name="IND_BM" localSheetId="4">'03'!#REF!</definedName>
    <definedName name="IND_BM">#REF!</definedName>
    <definedName name="IND_BM_SUP" localSheetId="4">'03'!#REF!</definedName>
    <definedName name="IND_BM_SUP">#REF!</definedName>
    <definedName name="IND_CAIXA_INF" localSheetId="10">'[7]34'!#REF!</definedName>
    <definedName name="IND_CAIXA_INF" localSheetId="15">'[3]34'!#REF!</definedName>
    <definedName name="IND_CAIXA_INF" localSheetId="2">'[4]34'!#REF!</definedName>
    <definedName name="IND_CAIXA_INF" localSheetId="3">'[4]34'!#REF!</definedName>
    <definedName name="IND_CAIXA_INF">'34'!#REF!</definedName>
    <definedName name="IND_CAIXA_SUP" localSheetId="10">'[7]34'!#REF!</definedName>
    <definedName name="IND_CAIXA_SUP" localSheetId="15">'[3]34'!#REF!</definedName>
    <definedName name="IND_CAIXA_SUP" localSheetId="2">'[4]34'!#REF!</definedName>
    <definedName name="IND_CAIXA_SUP" localSheetId="3">'[4]34'!#REF!</definedName>
    <definedName name="IND_CAIXA_SUP">'34'!#REF!</definedName>
    <definedName name="IND_CC_PGE" localSheetId="10">'[7]10'!#REF!</definedName>
    <definedName name="IND_CC_PGE" localSheetId="15">'[3]10'!#REF!</definedName>
    <definedName name="IND_CC_PGE" localSheetId="2">'[4]10'!#REF!</definedName>
    <definedName name="IND_CC_PGE" localSheetId="3">'[4]10'!#REF!</definedName>
    <definedName name="IND_CC_PGE">'10'!#REF!</definedName>
    <definedName name="IND_CCEX" localSheetId="10">'[7]33'!#REF!</definedName>
    <definedName name="IND_CCEX" localSheetId="14">'34'!#REF!</definedName>
    <definedName name="IND_CCEX" localSheetId="15">'[3]33'!#REF!</definedName>
    <definedName name="IND_CCEX" localSheetId="2">'[4]33'!#REF!</definedName>
    <definedName name="IND_CCEX" localSheetId="3">'[4]33'!#REF!</definedName>
    <definedName name="IND_CCEX">'33'!#REF!</definedName>
    <definedName name="IND_CHEFE_POL" localSheetId="4">'03'!#REF!</definedName>
    <definedName name="IND_CHEFE_POL">#REF!</definedName>
    <definedName name="IND_CRIM_TEC_PENIT" localSheetId="10">'16'!#REF!</definedName>
    <definedName name="IND_CRIM_TEC_PENIT">#REF!</definedName>
    <definedName name="IND_DEFENS" localSheetId="10">'[7]10'!#REF!</definedName>
    <definedName name="IND_DEFENS" localSheetId="15">'[3]10'!#REF!</definedName>
    <definedName name="IND_DEFENS" localSheetId="2">'[4]10'!#REF!</definedName>
    <definedName name="IND_DEFENS" localSheetId="3">'[4]10'!#REF!</definedName>
    <definedName name="IND_DEFENS">'10'!#REF!</definedName>
    <definedName name="IND_DELEG" localSheetId="4">'03'!#REF!</definedName>
    <definedName name="IND_DELEG">#REF!</definedName>
    <definedName name="IND_DELEG_CHEFES" localSheetId="4">'03'!#REF!</definedName>
    <definedName name="IND_DELEG_CHEFES">#REF!</definedName>
    <definedName name="IND_DESEMB" localSheetId="10">'[7]05'!#REF!</definedName>
    <definedName name="IND_DESEMB" localSheetId="15">'[3]05'!#REF!</definedName>
    <definedName name="IND_DESEMB" localSheetId="2">'[4]05'!#REF!</definedName>
    <definedName name="IND_DESEMB" localSheetId="3">'[4]05'!#REF!</definedName>
    <definedName name="IND_DESEMB">'05'!#REF!</definedName>
    <definedName name="IND_DP" localSheetId="10">'[7]05'!#REF!</definedName>
    <definedName name="IND_DP" localSheetId="15">'[3]05'!#REF!</definedName>
    <definedName name="IND_DP" localSheetId="2">'[4]05'!#REF!</definedName>
    <definedName name="IND_DP" localSheetId="3">'[4]05'!#REF!</definedName>
    <definedName name="IND_DP">'05'!#REF!</definedName>
    <definedName name="IND_FG_CEEE" localSheetId="10">'[7]10'!#REF!</definedName>
    <definedName name="IND_FG_CEEE" localSheetId="15">'[3]10'!#REF!</definedName>
    <definedName name="IND_FG_CEEE" localSheetId="2">'[4]10'!#REF!</definedName>
    <definedName name="IND_FG_CEEE" localSheetId="3">'[4]10'!#REF!</definedName>
    <definedName name="IND_FG_CEEE">'10'!#REF!</definedName>
    <definedName name="IND_FMMAG" localSheetId="10">'[7]10'!#REF!</definedName>
    <definedName name="IND_FMMAG" localSheetId="15">'[3]10'!#REF!</definedName>
    <definedName name="IND_FMMAG" localSheetId="2">'[4]10'!#REF!</definedName>
    <definedName name="IND_FMMAG" localSheetId="3">'[4]10'!#REF!</definedName>
    <definedName name="IND_FMMAG">'10'!#REF!</definedName>
    <definedName name="IND_GD" localSheetId="10">'[7]10'!#REF!</definedName>
    <definedName name="IND_GD" localSheetId="15">'[3]10'!#REF!</definedName>
    <definedName name="IND_GD" localSheetId="2">'[4]10'!#REF!</definedName>
    <definedName name="IND_GD" localSheetId="3">'[4]10'!#REF!</definedName>
    <definedName name="IND_GD">'10'!#REF!</definedName>
    <definedName name="IND_GERAL" localSheetId="10">'[7]10'!#REF!</definedName>
    <definedName name="IND_GERAL" localSheetId="15">'[3]10'!#REF!</definedName>
    <definedName name="IND_GERAL" localSheetId="2">'[4]10'!#REF!</definedName>
    <definedName name="IND_GERAL" localSheetId="3">'[4]10'!#REF!</definedName>
    <definedName name="IND_GERAL">'10'!#REF!</definedName>
    <definedName name="IND_INSTIT_SUP" localSheetId="10">'16'!#REF!</definedName>
    <definedName name="IND_INSTIT_SUP">#REF!</definedName>
    <definedName name="IND_INSTITUTOS" localSheetId="10">'16'!#REF!</definedName>
    <definedName name="IND_INSTITUTOS">#REF!</definedName>
    <definedName name="IND_JETONS">'01'!$B$7</definedName>
    <definedName name="IND_JUS" localSheetId="10">'[7]10'!#REF!</definedName>
    <definedName name="IND_JUS" localSheetId="15">'[3]10'!#REF!</definedName>
    <definedName name="IND_JUS" localSheetId="2">'[4]10'!#REF!</definedName>
    <definedName name="IND_JUS" localSheetId="3">'[4]10'!#REF!</definedName>
    <definedName name="IND_JUS">'10'!#REF!</definedName>
    <definedName name="IND_JUSTICA">#REF!</definedName>
    <definedName name="IND_MAG" localSheetId="10">'[7]10'!#REF!</definedName>
    <definedName name="IND_MAG" localSheetId="15">'[3]10'!#REF!</definedName>
    <definedName name="IND_MAG" localSheetId="2">'[4]10'!#REF!</definedName>
    <definedName name="IND_MAG" localSheetId="3">'[4]10'!#REF!</definedName>
    <definedName name="IND_MAG">'10'!#REF!</definedName>
    <definedName name="IND_MAG_JUD" localSheetId="10">'[7]10'!#REF!</definedName>
    <definedName name="IND_MAG_JUD" localSheetId="15">'[3]10'!#REF!</definedName>
    <definedName name="IND_MAG_JUD" localSheetId="2">'[4]10'!#REF!</definedName>
    <definedName name="IND_MAG_JUD" localSheetId="3">'[4]10'!#REF!</definedName>
    <definedName name="IND_MAG_JUD">'10'!#REF!</definedName>
    <definedName name="IND_PEPA">'01'!$B$6</definedName>
    <definedName name="IND_PGE" localSheetId="10">'[7]05'!#REF!</definedName>
    <definedName name="IND_PGE" localSheetId="15">'[3]05'!#REF!</definedName>
    <definedName name="IND_PGE" localSheetId="2">'[4]05'!#REF!</definedName>
    <definedName name="IND_PGE" localSheetId="3">'[4]05'!#REF!</definedName>
    <definedName name="IND_PGE">'05'!#REF!</definedName>
    <definedName name="IND_PGE2" localSheetId="10">'[7]10'!#REF!</definedName>
    <definedName name="IND_PGE2" localSheetId="15">'[3]10'!#REF!</definedName>
    <definedName name="IND_PGE2" localSheetId="2">'[4]10'!#REF!</definedName>
    <definedName name="IND_PGE2" localSheetId="3">'[4]10'!#REF!</definedName>
    <definedName name="IND_PGE2">'10'!#REF!</definedName>
    <definedName name="IND_PGJ" localSheetId="10">'[7]05'!#REF!</definedName>
    <definedName name="IND_PGJ" localSheetId="15">'[3]05'!#REF!</definedName>
    <definedName name="IND_PGJ" localSheetId="2">'[4]05'!#REF!</definedName>
    <definedName name="IND_PGJ" localSheetId="3">'[4]05'!#REF!</definedName>
    <definedName name="IND_PGJ">'05'!#REF!</definedName>
    <definedName name="IND_PGJ2" localSheetId="10">'[7]10'!#REF!</definedName>
    <definedName name="IND_PGJ2" localSheetId="15">'[3]10'!#REF!</definedName>
    <definedName name="IND_PGJ2" localSheetId="2">'[4]10'!#REF!</definedName>
    <definedName name="IND_PGJ2" localSheetId="3">'[4]10'!#REF!</definedName>
    <definedName name="IND_PGJ2">'10'!#REF!</definedName>
    <definedName name="IND_POLICIA" localSheetId="4">'03'!#REF!</definedName>
    <definedName name="IND_POLICIA">#REF!</definedName>
    <definedName name="IND_PORTO" localSheetId="10">'[7]32'!#REF!</definedName>
    <definedName name="IND_PORTO" localSheetId="15">'[3]32'!#REF!</definedName>
    <definedName name="IND_PORTO" localSheetId="2">'[4]32'!#REF!</definedName>
    <definedName name="IND_PORTO" localSheetId="3">'[4]32'!#REF!</definedName>
    <definedName name="IND_PORTO">'32'!#REF!</definedName>
    <definedName name="IND_PROC_AL" localSheetId="10">'[7]05'!#REF!</definedName>
    <definedName name="IND_PROC_AL" localSheetId="15">'[3]05'!#REF!</definedName>
    <definedName name="IND_PROC_AL" localSheetId="2">'[4]05'!#REF!</definedName>
    <definedName name="IND_PROC_AL" localSheetId="3">'[4]05'!#REF!</definedName>
    <definedName name="IND_PROC_AL">'05'!#REF!</definedName>
    <definedName name="IND_PROC_EST" localSheetId="10">'[7]05'!#REF!</definedName>
    <definedName name="IND_PROC_EST" localSheetId="15">'[3]05'!#REF!</definedName>
    <definedName name="IND_PROC_EST" localSheetId="2">'[4]05'!#REF!</definedName>
    <definedName name="IND_PROC_EST" localSheetId="3">'[4]05'!#REF!</definedName>
    <definedName name="IND_PROC_EST">'05'!#REF!</definedName>
    <definedName name="IND_QUADRO_GERAL">'01'!$B$2</definedName>
    <definedName name="IND_SECRET" localSheetId="10">'[7]05'!#REF!</definedName>
    <definedName name="IND_SECRET" localSheetId="15">'[3]05'!#REF!</definedName>
    <definedName name="IND_SECRET" localSheetId="2">'[4]05'!#REF!</definedName>
    <definedName name="IND_SECRET" localSheetId="3">'[4]05'!#REF!</definedName>
    <definedName name="IND_SECRET">'05'!#REF!</definedName>
    <definedName name="IND_SERV_ESC">'01'!$B$3</definedName>
    <definedName name="IND_SERV_ESC_NOVA" localSheetId="10">'[7]38'!#REF!</definedName>
    <definedName name="IND_SERV_ESC_NOVA" localSheetId="15">'[3]38'!#REF!</definedName>
    <definedName name="IND_SERV_ESC_NOVA" localSheetId="2">'[4]38'!#REF!</definedName>
    <definedName name="IND_SERV_ESC_NOVA" localSheetId="3">'[4]38'!#REF!</definedName>
    <definedName name="IND_SERV_ESC_NOVA">'38'!#REF!</definedName>
    <definedName name="IND_SUS">'01'!$B$5</definedName>
    <definedName name="IND_SUSEPE" localSheetId="10">'16'!#REF!</definedName>
    <definedName name="IND_SUSEPE">#REF!</definedName>
    <definedName name="IND_TAB11" localSheetId="10">'[7]11'!#REF!</definedName>
    <definedName name="IND_TAB11" localSheetId="15">'[3]11'!#REF!</definedName>
    <definedName name="IND_TAB11" localSheetId="2">'[4]11'!#REF!</definedName>
    <definedName name="IND_TAB11" localSheetId="3">'[4]11'!#REF!</definedName>
    <definedName name="IND_TAB11">'11'!#REF!</definedName>
    <definedName name="IND_TAB11INF" localSheetId="10">'[7]11'!#REF!</definedName>
    <definedName name="IND_TAB11INF" localSheetId="15">'[3]11'!#REF!</definedName>
    <definedName name="IND_TAB11INF" localSheetId="2">'[4]11'!#REF!</definedName>
    <definedName name="IND_TAB11INF" localSheetId="3">'[4]11'!#REF!</definedName>
    <definedName name="IND_TAB11INF">'11'!#REF!</definedName>
    <definedName name="IND_TAB13" localSheetId="10">'[7]11'!#REF!</definedName>
    <definedName name="IND_TAB13" localSheetId="15">'[3]11'!#REF!</definedName>
    <definedName name="IND_TAB13" localSheetId="2">'[4]11'!#REF!</definedName>
    <definedName name="IND_TAB13" localSheetId="3">'[4]11'!#REF!</definedName>
    <definedName name="IND_TAB13">'11'!#REF!</definedName>
    <definedName name="IND_TAB35" localSheetId="10">'[7]34'!#REF!</definedName>
    <definedName name="IND_TAB35" localSheetId="15">'[3]34'!#REF!</definedName>
    <definedName name="IND_TAB35" localSheetId="2">'[4]34'!#REF!</definedName>
    <definedName name="IND_TAB35" localSheetId="3">'[4]34'!#REF!</definedName>
    <definedName name="IND_TAB35">'34'!#REF!</definedName>
    <definedName name="IND_TC" localSheetId="10">'[7]10'!#REF!</definedName>
    <definedName name="IND_TC" localSheetId="15">'[3]10'!#REF!</definedName>
    <definedName name="IND_TC" localSheetId="2">'[4]10'!#REF!</definedName>
    <definedName name="IND_TC" localSheetId="3">'[4]10'!#REF!</definedName>
    <definedName name="IND_TC">'10'!#REF!</definedName>
    <definedName name="IND_TEC_CIENT">'01'!$B$4</definedName>
    <definedName name="IND_TEC_PLAN" localSheetId="10">'[7]10'!#REF!</definedName>
    <definedName name="IND_TEC_PLAN" localSheetId="15">'[3]10'!#REF!</definedName>
    <definedName name="IND_TEC_PLAN" localSheetId="2">'[4]10'!#REF!</definedName>
    <definedName name="IND_TEC_PLAN" localSheetId="3">'[4]10'!#REF!</definedName>
    <definedName name="IND_TEC_PLAN">'10'!#REF!</definedName>
    <definedName name="IND_TJ" localSheetId="10">'[7]10'!#REF!</definedName>
    <definedName name="IND_TJ" localSheetId="15">'[3]10'!#REF!</definedName>
    <definedName name="IND_TJ" localSheetId="2">'[4]10'!#REF!</definedName>
    <definedName name="IND_TJ" localSheetId="3">'[4]10'!#REF!</definedName>
    <definedName name="IND_TJ">'10'!#REF!</definedName>
    <definedName name="INDA1" localSheetId="10">'[7]10'!#REF!</definedName>
    <definedName name="INDA1" localSheetId="15">'[3]10'!#REF!</definedName>
    <definedName name="INDA1" localSheetId="2">'[4]10'!#REF!</definedName>
    <definedName name="INDA1" localSheetId="3">'[4]10'!#REF!</definedName>
    <definedName name="INDA1">'10'!#REF!</definedName>
    <definedName name="INDA2" localSheetId="10">'[7]10'!#REF!</definedName>
    <definedName name="INDA2" localSheetId="15">'[3]10'!#REF!</definedName>
    <definedName name="INDA2" localSheetId="2">'[4]10'!#REF!</definedName>
    <definedName name="INDA2" localSheetId="3">'[4]10'!#REF!</definedName>
    <definedName name="INDA2">'10'!#REF!</definedName>
    <definedName name="INDA3" localSheetId="10">'[7]10'!#REF!</definedName>
    <definedName name="INDA3" localSheetId="15">'[3]10'!#REF!</definedName>
    <definedName name="INDA3" localSheetId="2">'[4]10'!#REF!</definedName>
    <definedName name="INDA3" localSheetId="3">'[4]10'!#REF!</definedName>
    <definedName name="INDA3">'10'!#REF!</definedName>
    <definedName name="INDA4" localSheetId="10">'[7]10'!#REF!</definedName>
    <definedName name="INDA4" localSheetId="15">'[3]10'!#REF!</definedName>
    <definedName name="INDA4" localSheetId="2">'[4]10'!#REF!</definedName>
    <definedName name="INDA4" localSheetId="3">'[4]10'!#REF!</definedName>
    <definedName name="INDA4">'10'!#REF!</definedName>
    <definedName name="INDA5" localSheetId="10">'[7]10'!#REF!</definedName>
    <definedName name="INDA5" localSheetId="15">'[3]10'!#REF!</definedName>
    <definedName name="INDA5" localSheetId="2">'[4]10'!#REF!</definedName>
    <definedName name="INDA5" localSheetId="3">'[4]10'!#REF!</definedName>
    <definedName name="INDA5">'10'!#REF!</definedName>
    <definedName name="INDA6" localSheetId="10">'[7]10'!#REF!</definedName>
    <definedName name="INDA6" localSheetId="15">'[3]10'!#REF!</definedName>
    <definedName name="INDA6" localSheetId="2">'[4]10'!#REF!</definedName>
    <definedName name="INDA6" localSheetId="3">'[4]10'!#REF!</definedName>
    <definedName name="INDA6">'10'!#REF!</definedName>
    <definedName name="JETON_I" localSheetId="10">'[7]01'!#REF!</definedName>
    <definedName name="JETON_I" localSheetId="15">'[3]01'!#REF!</definedName>
    <definedName name="JETON_I" localSheetId="2">'[4]01'!#REF!</definedName>
    <definedName name="JETON_I" localSheetId="3">'[4]01'!#REF!</definedName>
    <definedName name="JETON_I">'01'!#REF!</definedName>
    <definedName name="JETON_II" localSheetId="10">'[7]01'!#REF!</definedName>
    <definedName name="JETON_II" localSheetId="15">'[3]01'!#REF!</definedName>
    <definedName name="JETON_II" localSheetId="2">'[4]01'!#REF!</definedName>
    <definedName name="JETON_II" localSheetId="3">'[4]01'!#REF!</definedName>
    <definedName name="JETON_II">'01'!#REF!</definedName>
    <definedName name="JETON_III" localSheetId="10">'[7]01'!#REF!</definedName>
    <definedName name="JETON_III" localSheetId="15">'[3]01'!#REF!</definedName>
    <definedName name="JETON_III" localSheetId="2">'[4]01'!#REF!</definedName>
    <definedName name="JETON_III" localSheetId="3">'[4]01'!#REF!</definedName>
    <definedName name="JETON_III">'01'!#REF!</definedName>
    <definedName name="M2_01H" localSheetId="10">'[7]07CE'!$E$12</definedName>
    <definedName name="M2_01H" localSheetId="15">'[3]07CE'!$E$12</definedName>
    <definedName name="M2_01H" localSheetId="2">'[4]07CE'!$E$12</definedName>
    <definedName name="M2_01H" localSheetId="3">'[4]07CE'!$E$12</definedName>
    <definedName name="M2_01H">'07CE'!$E$12</definedName>
    <definedName name="M2_18" localSheetId="10">'[7]07CE'!$AB$12</definedName>
    <definedName name="M2_18" localSheetId="15">'[3]07CE'!$AB$12</definedName>
    <definedName name="M2_18" localSheetId="2">'[4]07CE'!$AB$12</definedName>
    <definedName name="M2_18" localSheetId="3">'[4]07CE'!$AB$12</definedName>
    <definedName name="M2_18">'07CE'!$AB$12</definedName>
    <definedName name="M4_01H" localSheetId="10">'[7]07CE'!$J$12</definedName>
    <definedName name="M4_01H" localSheetId="15">'[3]07CE'!$J$12</definedName>
    <definedName name="M4_01H" localSheetId="2">'[4]07CE'!$J$12</definedName>
    <definedName name="M4_01H" localSheetId="3">'[4]07CE'!$J$12</definedName>
    <definedName name="M4_01H">'07CE'!$J$12</definedName>
    <definedName name="M4_18" localSheetId="10">'[7]07CE'!$AG$12</definedName>
    <definedName name="M4_18" localSheetId="15">'[3]07CE'!$AG$12</definedName>
    <definedName name="M4_18" localSheetId="2">'[4]07CE'!$AG$12</definedName>
    <definedName name="M4_18" localSheetId="3">'[4]07CE'!$AG$12</definedName>
    <definedName name="M4_18">'07CE'!$AG$12</definedName>
    <definedName name="PADRAO47" localSheetId="10">'[7]01'!#REF!</definedName>
    <definedName name="PADRAO47" localSheetId="15">'[3]01'!#REF!</definedName>
    <definedName name="PADRAO47" localSheetId="2">'[4]01'!#REF!</definedName>
    <definedName name="PADRAO47" localSheetId="3">'[4]01'!#REF!</definedName>
    <definedName name="PADRAO47">'01'!#REF!</definedName>
    <definedName name="PARC_AUT_10" localSheetId="4">'[2]01'!#REF!</definedName>
    <definedName name="PARC_AUT_10" localSheetId="10">'[2]01'!#REF!</definedName>
    <definedName name="PARC_AUT_10" localSheetId="15">'[3]01'!#REF!</definedName>
    <definedName name="PARC_AUT_10" localSheetId="2">'[4]01'!#REF!</definedName>
    <definedName name="PARC_AUT_10" localSheetId="3">'[4]01'!#REF!</definedName>
    <definedName name="PARC_AUT_10">'01'!#REF!</definedName>
    <definedName name="PARC_AUT_20" localSheetId="4">'[2]01'!#REF!</definedName>
    <definedName name="PARC_AUT_20" localSheetId="10">'[2]01'!#REF!</definedName>
    <definedName name="PARC_AUT_20" localSheetId="15">'[3]01'!#REF!</definedName>
    <definedName name="PARC_AUT_20" localSheetId="2">'[4]01'!#REF!</definedName>
    <definedName name="PARC_AUT_20" localSheetId="3">'[4]01'!#REF!</definedName>
    <definedName name="PARC_AUT_20">'01'!#REF!</definedName>
    <definedName name="PARC_AUT_30" localSheetId="4">'[2]01'!#REF!</definedName>
    <definedName name="PARC_AUT_30" localSheetId="10">'[2]01'!#REF!</definedName>
    <definedName name="PARC_AUT_30" localSheetId="15">'[3]01'!#REF!</definedName>
    <definedName name="PARC_AUT_30" localSheetId="2">'[4]01'!#REF!</definedName>
    <definedName name="PARC_AUT_30" localSheetId="3">'[4]01'!#REF!</definedName>
    <definedName name="PARC_AUT_30">'01'!#REF!</definedName>
    <definedName name="PARC_AUT_40" localSheetId="4">'[2]01'!#REF!</definedName>
    <definedName name="PARC_AUT_40" localSheetId="10">'[2]01'!#REF!</definedName>
    <definedName name="PARC_AUT_40" localSheetId="2">'[5]01'!#REF!</definedName>
    <definedName name="PARC_AUT_40" localSheetId="3">'[5]01'!#REF!</definedName>
    <definedName name="PARC_AUT_40">'01'!$Y$14</definedName>
    <definedName name="PARC_TEC_CIEN_20" localSheetId="10">'[7]01'!$Y$12</definedName>
    <definedName name="PARC_TEC_CIEN_20" localSheetId="15">'[3]01'!$Z$12</definedName>
    <definedName name="PARC_TEC_CIEN_20" localSheetId="2">'[4]01'!$Z$12</definedName>
    <definedName name="PARC_TEC_CIEN_20" localSheetId="3">'[4]01'!$Z$12</definedName>
    <definedName name="PARC_TEC_CIEN_20">'01'!$Y$12</definedName>
    <definedName name="PARC_TEC_CIEN_30" localSheetId="10">'[7]01'!$Y$13</definedName>
    <definedName name="PARC_TEC_CIEN_30" localSheetId="15">'[3]01'!$Z$13</definedName>
    <definedName name="PARC_TEC_CIEN_30" localSheetId="2">'[4]01'!$Z$13</definedName>
    <definedName name="PARC_TEC_CIEN_30" localSheetId="3">'[4]01'!$Z$13</definedName>
    <definedName name="PARC_TEC_CIEN_30">'01'!$Y$13</definedName>
    <definedName name="PARC_TEC_CIEN_36" localSheetId="10">'[7]01'!$Y$62</definedName>
    <definedName name="PARC_TEC_CIEN_36" localSheetId="15">'[3]01'!$Z$62</definedName>
    <definedName name="PARC_TEC_CIEN_36" localSheetId="2">'[4]01'!$Z$62</definedName>
    <definedName name="PARC_TEC_CIEN_36" localSheetId="3">'[4]01'!$Z$62</definedName>
    <definedName name="PARC_TEC_CIEN_36">'01'!$Y$62</definedName>
    <definedName name="PARC_TEC_CIEN_40" localSheetId="10">'[7]01'!$Y$14</definedName>
    <definedName name="PARC_TEC_CIEN_40" localSheetId="15">'[3]01'!$Z$14</definedName>
    <definedName name="PARC_TEC_CIEN_40" localSheetId="2">'[4]01'!$Z$14</definedName>
    <definedName name="PARC_TEC_CIEN_40" localSheetId="3">'[4]01'!$Z$14</definedName>
    <definedName name="PARC_TEC_CIEN_40">'01'!$Y$14</definedName>
    <definedName name="PARC_TEC_PLAN">'01'!$B$20</definedName>
    <definedName name="PARCAUT_MAG" localSheetId="10">'[7]10'!$CF$33</definedName>
    <definedName name="PARCAUT_MAG" localSheetId="15">'[3]10'!$CF$33</definedName>
    <definedName name="PARCAUT_MAG" localSheetId="2">'[4]10'!$CF$33</definedName>
    <definedName name="PARCAUT_MAG" localSheetId="3">'[4]10'!$CF$33</definedName>
    <definedName name="PARCAUT_MAG">'10'!$CF$33</definedName>
    <definedName name="PAUT_MAG_DADOS" localSheetId="10">'[7]10'!#REF!</definedName>
    <definedName name="PAUT_MAG_DADOS" localSheetId="15">'[3]10'!#REF!</definedName>
    <definedName name="PAUT_MAG_DADOS" localSheetId="2">'[4]10'!#REF!</definedName>
    <definedName name="PAUT_MAG_DADOS" localSheetId="3">'[4]10'!#REF!</definedName>
    <definedName name="PAUT_MAG_DADOS">'10'!#REF!</definedName>
    <definedName name="PAUT_QG_DADOS">'01'!$AB$9:$AC$58</definedName>
    <definedName name="PAUT_QG_DATA_VAL">'01'!$AJ$4</definedName>
    <definedName name="PD01_40_QG" localSheetId="10">'[7]01'!#REF!</definedName>
    <definedName name="PD01_40_QG" localSheetId="15">'[3]01'!#REF!</definedName>
    <definedName name="PD01_40_QG" localSheetId="2">'[4]01'!#REF!</definedName>
    <definedName name="PD01_40_QG" localSheetId="3">'[4]01'!#REF!</definedName>
    <definedName name="PD01_40_QG">'01'!#REF!</definedName>
    <definedName name="PD16" localSheetId="4">'03'!#REF!</definedName>
    <definedName name="PD16">#REF!</definedName>
    <definedName name="PD16_total" localSheetId="4">'03'!#REF!</definedName>
    <definedName name="PD16_total">#REF!</definedName>
    <definedName name="PD2021_TB15" localSheetId="10">'16'!#REF!</definedName>
    <definedName name="PD2021_TB15" localSheetId="15">'[3]16'!#REF!</definedName>
    <definedName name="PD2021_TB15" localSheetId="2">'[4]16'!#REF!</definedName>
    <definedName name="PD2021_TB15" localSheetId="3">'[4]16'!#REF!</definedName>
    <definedName name="PD2021_TB15">#REF!</definedName>
    <definedName name="PEPA01" localSheetId="10">'[7]01'!$BE$13</definedName>
    <definedName name="PEPA01" localSheetId="15">'[3]01'!$AX$13</definedName>
    <definedName name="PEPA01" localSheetId="2">'[4]01'!$AX$13</definedName>
    <definedName name="PEPA01" localSheetId="3">'[4]01'!$AX$13</definedName>
    <definedName name="PEPA01">'01'!$BE$13</definedName>
    <definedName name="PEPA02" localSheetId="10">'[7]01'!$BE$28</definedName>
    <definedName name="PEPA02" localSheetId="15">'[3]01'!$AX$28</definedName>
    <definedName name="PEPA02" localSheetId="2">'[4]01'!$AX$28</definedName>
    <definedName name="PEPA02" localSheetId="3">'[4]01'!$AX$28</definedName>
    <definedName name="PEPA02">'01'!$BE$28</definedName>
    <definedName name="PEPA03" localSheetId="10">'[7]01'!$BE$46</definedName>
    <definedName name="PEPA03" localSheetId="15">'[3]01'!$AX$46</definedName>
    <definedName name="PEPA03" localSheetId="2">'[4]01'!$AX$46</definedName>
    <definedName name="PEPA03" localSheetId="3">'[4]01'!$AX$46</definedName>
    <definedName name="PEPA03">'01'!$BE$46</definedName>
    <definedName name="PEPA04" localSheetId="10">'[7]01'!$BE$52</definedName>
    <definedName name="PEPA04" localSheetId="15">'[3]01'!$AX$52</definedName>
    <definedName name="PEPA04" localSheetId="2">'[4]01'!$AX$52</definedName>
    <definedName name="PEPA04" localSheetId="3">'[4]01'!$AX$52</definedName>
    <definedName name="PEPA04">'01'!$BE$52</definedName>
    <definedName name="PEPA05" localSheetId="10">'[7]01'!$BE$55</definedName>
    <definedName name="PEPA05" localSheetId="15">'[3]01'!$AX$55</definedName>
    <definedName name="PEPA05" localSheetId="2">'[4]01'!$AX$55</definedName>
    <definedName name="PEPA05" localSheetId="3">'[4]01'!$AX$55</definedName>
    <definedName name="PEPA05">'01'!$BE$55</definedName>
    <definedName name="PEPA06" localSheetId="10">'[7]01'!$BP$14</definedName>
    <definedName name="PEPA06" localSheetId="15">'[3]01'!$BI$14</definedName>
    <definedName name="PEPA06" localSheetId="2">'[4]01'!$BI$14</definedName>
    <definedName name="PEPA06" localSheetId="3">'[4]01'!$BI$14</definedName>
    <definedName name="PEPA06">'01'!$BP$14</definedName>
    <definedName name="PISO_20H" localSheetId="10">'[7]01'!$S$11</definedName>
    <definedName name="PISO_20H" localSheetId="15">'[3]01'!$T$11</definedName>
    <definedName name="PISO_20H" localSheetId="2">'[4]01'!$T$11</definedName>
    <definedName name="PISO_20H" localSheetId="3">'[4]01'!$T$11</definedName>
    <definedName name="PISO_20H">'01'!$S$11</definedName>
    <definedName name="PISO_40H" localSheetId="10">'[7]01'!$S$13</definedName>
    <definedName name="PISO_40H" localSheetId="15">'[3]01'!$T$13</definedName>
    <definedName name="PISO_40H" localSheetId="2">'[4]01'!$T$13</definedName>
    <definedName name="PISO_40H" localSheetId="3">'[4]01'!$T$13</definedName>
    <definedName name="PISO_40H">'01'!$S$13</definedName>
    <definedName name="PISO_EST">'01'!$F$12</definedName>
    <definedName name="PISO_MAG" localSheetId="10">'[7]10'!$CJ$36</definedName>
    <definedName name="PISO_MAG" localSheetId="15">'[3]10'!$CJ$36</definedName>
    <definedName name="PISO_MAG" localSheetId="2">'[4]10'!$CJ$36</definedName>
    <definedName name="PISO_MAG" localSheetId="3">'[4]10'!$CJ$36</definedName>
    <definedName name="PISO_MAG">'10'!$CJ$36</definedName>
    <definedName name="PISO_REG" localSheetId="4">'[2]01'!$B$13</definedName>
    <definedName name="PISO_REG" localSheetId="10">'[7]01'!#REF!</definedName>
    <definedName name="PISO_REG" localSheetId="15">'[3]01'!#REF!</definedName>
    <definedName name="PISO_REG" localSheetId="2">'[4]01'!#REF!</definedName>
    <definedName name="PISO_REG" localSheetId="3">'[4]01'!#REF!</definedName>
    <definedName name="PISO_REG">'01'!#REF!</definedName>
    <definedName name="PISONOVO_40H" localSheetId="10">'[7]41'!$H$24</definedName>
    <definedName name="PISONOVO_40H" localSheetId="2">'[5]41'!$H$24</definedName>
    <definedName name="PISONOVO_40H" localSheetId="3">'[5]41'!$H$24</definedName>
    <definedName name="PISONOVO_40H">'41'!$H$24</definedName>
    <definedName name="REDUTOR_AD" localSheetId="10">'[7]11'!$P$63</definedName>
    <definedName name="REDUTOR_AD" localSheetId="15">'[3]11'!$P$63</definedName>
    <definedName name="REDUTOR_AD" localSheetId="2">'[4]11'!$P$63</definedName>
    <definedName name="REDUTOR_AD" localSheetId="3">'[4]11'!$P$63</definedName>
    <definedName name="REDUTOR_AD">'11'!$P$63</definedName>
    <definedName name="REDUTOR_TV">'11'!$P$62</definedName>
    <definedName name="REF_TAB30" localSheetId="10">'[7]10'!#REF!</definedName>
    <definedName name="REF_TAB30" localSheetId="15">'[3]10'!#REF!</definedName>
    <definedName name="REF_TAB30" localSheetId="2">'[4]10'!#REF!</definedName>
    <definedName name="REF_TAB30" localSheetId="3">'[4]10'!#REF!</definedName>
    <definedName name="REF_TAB30">'10'!#REF!</definedName>
    <definedName name="REPR_TEC_PLAN" localSheetId="10">'[7]10'!#REF!</definedName>
    <definedName name="REPR_TEC_PLAN" localSheetId="15">'[3]10'!#REF!</definedName>
    <definedName name="REPR_TEC_PLAN" localSheetId="2">'[4]10'!#REF!</definedName>
    <definedName name="REPR_TEC_PLAN" localSheetId="3">'[4]10'!#REF!</definedName>
    <definedName name="REPR_TEC_PLAN">'10'!#REF!</definedName>
    <definedName name="RHE" localSheetId="10">'[8]RHE_Valores'!$A:$XFD</definedName>
    <definedName name="RHE" localSheetId="15">'[8]RHE_Valores'!$A:$XFD</definedName>
    <definedName name="RHE" localSheetId="2">'[8]RHE_Valores'!$A:$XFD</definedName>
    <definedName name="RHE" localSheetId="3">'[8]RHE_Valores'!$A:$XFD</definedName>
    <definedName name="RHE">'[8]RHE_Valores'!$A:$XFD</definedName>
    <definedName name="SAL_FAM">'01'!$CB$31</definedName>
    <definedName name="SAL_HORA" localSheetId="10">'[7]01'!$B$9</definedName>
    <definedName name="SAL_HORA" localSheetId="15">'[3]01'!$B$9</definedName>
    <definedName name="SAL_HORA" localSheetId="2">'[4]01'!$B$9</definedName>
    <definedName name="SAL_HORA" localSheetId="3">'[4]01'!$B$9</definedName>
    <definedName name="SAL_HORA">'01'!$B$9</definedName>
    <definedName name="SAL_MIN" localSheetId="10">'[7]01'!$F$10</definedName>
    <definedName name="SAL_MIN" localSheetId="15">'[3]01'!$F$10</definedName>
    <definedName name="SAL_MIN" localSheetId="2">'[4]01'!$F$10</definedName>
    <definedName name="SAL_MIN" localSheetId="3">'[4]01'!$F$10</definedName>
    <definedName name="SAL_MIN">'01'!$F$10</definedName>
    <definedName name="SAL_MIN_REG">'01'!$F$11</definedName>
    <definedName name="SECRETARIO" localSheetId="10">'[7]05'!#REF!</definedName>
    <definedName name="SECRETARIO" localSheetId="15">'[3]05'!#REF!</definedName>
    <definedName name="SECRETARIO" localSheetId="2">'[4]05'!#REF!</definedName>
    <definedName name="SECRETARIO" localSheetId="3">'[4]05'!#REF!</definedName>
    <definedName name="SECRETARIO">'05'!#REF!</definedName>
    <definedName name="SUS01" localSheetId="10">'[7]01'!$AT$13</definedName>
    <definedName name="SUS01" localSheetId="15">'[3]01'!$AK$13</definedName>
    <definedName name="SUS01" localSheetId="2">'[4]01'!$AK$13</definedName>
    <definedName name="SUS01" localSheetId="3">'[4]01'!$AK$13</definedName>
    <definedName name="SUS01">'01'!$AT$13</definedName>
    <definedName name="SUS02" localSheetId="10">'[7]01'!$AT$25</definedName>
    <definedName name="SUS02" localSheetId="15">'[3]01'!$AK$25</definedName>
    <definedName name="SUS02" localSheetId="2">'[4]01'!$AK$25</definedName>
    <definedName name="SUS02" localSheetId="3">'[4]01'!$AK$25</definedName>
    <definedName name="SUS02">'01'!$AT$25</definedName>
    <definedName name="SUS03" localSheetId="10">'[7]01'!$AT$37</definedName>
    <definedName name="SUS03" localSheetId="15">'[3]01'!$AK$37</definedName>
    <definedName name="SUS03" localSheetId="2">'[4]01'!$AK$37</definedName>
    <definedName name="SUS03" localSheetId="3">'[4]01'!$AK$37</definedName>
    <definedName name="SUS03">'01'!$AT$37</definedName>
    <definedName name="SUS04" localSheetId="10">'[7]01'!$AT$49</definedName>
    <definedName name="SUS04" localSheetId="15">'[3]01'!$AK$49</definedName>
    <definedName name="SUS04" localSheetId="2">'[4]01'!$AK$49</definedName>
    <definedName name="SUS04" localSheetId="3">'[4]01'!$AK$49</definedName>
    <definedName name="SUS04">'01'!$AT$49</definedName>
    <definedName name="TAB_FAZ_DADOS">'11'!$J$10:$K$30</definedName>
    <definedName name="TAB_PEPA_DADOS">'01'!$AX$10:$AY$16</definedName>
    <definedName name="TAB_PEPA_DATA_VAL" localSheetId="10">'[7]01'!$BF$4</definedName>
    <definedName name="TAB_PEPA_DATA_VAL" localSheetId="15">'[3]01'!$AY$4</definedName>
    <definedName name="TAB_PEPA_DATA_VAL" localSheetId="2">'[4]01'!$AY$4</definedName>
    <definedName name="TAB_PEPA_DATA_VAL" localSheetId="3">'[4]01'!$AY$4</definedName>
    <definedName name="TAB_PEPA_DATA_VAL">'01'!$BF$4</definedName>
    <definedName name="TAB_SUS_DADOS">'01'!$AL$10:$AM$14</definedName>
    <definedName name="TAB_SUS_DATA_VAL" localSheetId="10">'[7]01'!$AU$4</definedName>
    <definedName name="TAB_SUS_DATA_VAL" localSheetId="15">'[3]01'!$AL$4</definedName>
    <definedName name="TAB_SUS_DATA_VAL" localSheetId="2">'[4]01'!$AL$4</definedName>
    <definedName name="TAB_SUS_DATA_VAL" localSheetId="3">'[4]01'!$AL$4</definedName>
    <definedName name="TAB_SUS_DATA_VAL">'01'!$AU$4</definedName>
    <definedName name="TAB01">'01'!$O$2:$Z$60</definedName>
    <definedName name="TAB01_DADOS">'01'!$L$10:$M$77</definedName>
    <definedName name="TAB01_DATA_VAL" localSheetId="10">'[7]01'!$X$4</definedName>
    <definedName name="TAB01_DATA_VAL" localSheetId="15">'[3]01'!$Y$4</definedName>
    <definedName name="TAB01_DATA_VAL" localSheetId="2">'[4]01'!$Y$4</definedName>
    <definedName name="TAB01_DATA_VAL" localSheetId="3">'[4]01'!$Y$4</definedName>
    <definedName name="TAB01_DATA_VAL">'01'!$X$4</definedName>
    <definedName name="TAB01A">'01'!$AO$2:$AV$61</definedName>
    <definedName name="TAB01B1">'01'!$AZ$2:$BG$61</definedName>
    <definedName name="TAB01B2">'01'!$BJ$2:$BR$61</definedName>
    <definedName name="TAB01B2_DATA_VAL">'01'!$BQ$4</definedName>
    <definedName name="TAB02">'01'!$BT$2:$CC$60</definedName>
    <definedName name="TAB02_DADOS">'01'!$CE$9:$CF$59</definedName>
    <definedName name="TAB02_DATA_VAL" localSheetId="10">'[7]01'!$CB$4</definedName>
    <definedName name="TAB02_DATA_VAL" localSheetId="15">'[3]01'!$BU$4</definedName>
    <definedName name="TAB02_DATA_VAL" localSheetId="2">'[4]01'!$BU$4</definedName>
    <definedName name="TAB02_DATA_VAL" localSheetId="3">'[4]01'!$BU$4</definedName>
    <definedName name="TAB02_DATA_VAL">'01'!$CB$4</definedName>
    <definedName name="TAB02A">'01'!$CH$2:$CR$60</definedName>
    <definedName name="TAB02A_DATA_VAL">'01'!$CQ$4</definedName>
    <definedName name="TAB02B">'01'!$CU$2:$DE$61</definedName>
    <definedName name="TAB02B_DATA_VAL">'01'!$DD$4</definedName>
    <definedName name="TAB03" localSheetId="4">'03'!$P$3:$X$66</definedName>
    <definedName name="TAB03">#REF!</definedName>
    <definedName name="TAB03_DADOS" localSheetId="4">'03'!$M$11:$N$64</definedName>
    <definedName name="TAB03_DADOS">#REF!</definedName>
    <definedName name="TAB03_DATA_VAL" localSheetId="4">'03'!$X$5</definedName>
    <definedName name="TAB03_DATA_VAL">#REF!</definedName>
    <definedName name="TAB03_PD03" localSheetId="4">'03'!$T$11</definedName>
    <definedName name="TAB03_PD03">#REF!</definedName>
    <definedName name="TAB03_PD04" localSheetId="4">'03'!$T$12</definedName>
    <definedName name="TAB03_PD04">#REF!</definedName>
    <definedName name="TAB03_PD05" localSheetId="4">'03'!$T$13</definedName>
    <definedName name="TAB03_PD05">#REF!</definedName>
    <definedName name="TAB03_PD06" localSheetId="4">'03'!$T$14</definedName>
    <definedName name="TAB03_PD06">#REF!</definedName>
    <definedName name="TAB03_PD07" localSheetId="4">'03'!$T$15</definedName>
    <definedName name="TAB03_PD07">#REF!</definedName>
    <definedName name="TAB03_PD08" localSheetId="4">'03'!$T$16</definedName>
    <definedName name="TAB03_PD08">#REF!</definedName>
    <definedName name="TAB03_PD09" localSheetId="4">'03'!$T$17</definedName>
    <definedName name="TAB03_PD09">#REF!</definedName>
    <definedName name="TAB03_PD10" localSheetId="4">'03'!$T$18</definedName>
    <definedName name="TAB03_PD10">#REF!</definedName>
    <definedName name="TAB03_PD11" localSheetId="4">'03'!$T$19</definedName>
    <definedName name="TAB03_PD11">#REF!</definedName>
    <definedName name="TAB03_PD12" localSheetId="4">'03'!$T$20</definedName>
    <definedName name="TAB03_PD12">#REF!</definedName>
    <definedName name="TAB03_PD13" localSheetId="4">'03'!$T$21</definedName>
    <definedName name="TAB03_PD13">#REF!</definedName>
    <definedName name="TAB03_PD14" localSheetId="4">'03'!$T$22</definedName>
    <definedName name="TAB03_PD14">#REF!</definedName>
    <definedName name="TAB03_PD15" localSheetId="4">'03'!$T$23</definedName>
    <definedName name="TAB03_PD15">#REF!</definedName>
    <definedName name="TAB03_PD16" localSheetId="4">'03'!$T$24</definedName>
    <definedName name="TAB03_PD16">#REF!</definedName>
    <definedName name="TAB03_PD17" localSheetId="4">'03'!$T$25</definedName>
    <definedName name="TAB03_PD17">#REF!</definedName>
    <definedName name="TAB03_PD18" localSheetId="4">'03'!$T$26</definedName>
    <definedName name="TAB03_PD18">#REF!</definedName>
    <definedName name="TAB03_PD19" localSheetId="4">'03'!$T$27</definedName>
    <definedName name="TAB03_PD19">#REF!</definedName>
    <definedName name="TAB03_PD20" localSheetId="4">'03'!$T$28</definedName>
    <definedName name="TAB03_PD20">#REF!</definedName>
    <definedName name="TAB03_PD21" localSheetId="4">'03'!$T$29</definedName>
    <definedName name="TAB03_PD21">#REF!</definedName>
    <definedName name="TAB03_PD22" localSheetId="4">'03'!$T$30</definedName>
    <definedName name="TAB03_PD22">#REF!</definedName>
    <definedName name="TAB03_PD23" localSheetId="4">'03'!$T$31</definedName>
    <definedName name="TAB03_PD23">#REF!</definedName>
    <definedName name="TAB03_PD24" localSheetId="4">'03'!$T$32</definedName>
    <definedName name="TAB03_PD24">#REF!</definedName>
    <definedName name="TAB03_PD25" localSheetId="4">'03'!$T$33</definedName>
    <definedName name="TAB03_PD25">#REF!</definedName>
    <definedName name="TAB03_PD26" localSheetId="4">'03'!$T$34</definedName>
    <definedName name="TAB03_PD26">#REF!</definedName>
    <definedName name="TAB03_PD27" localSheetId="4">'03'!$T$35</definedName>
    <definedName name="TAB03_PD27">#REF!</definedName>
    <definedName name="TAB03_PD28" localSheetId="4">'03'!$T$36</definedName>
    <definedName name="TAB03_PD28">#REF!</definedName>
    <definedName name="TAB03_PD40" localSheetId="4">'03'!$T$37</definedName>
    <definedName name="TAB03_PD40">#REF!</definedName>
    <definedName name="TAB03_PD41" localSheetId="4">'03'!$T$38</definedName>
    <definedName name="TAB03_PD41">#REF!</definedName>
    <definedName name="TAB03_PD42" localSheetId="4">'03'!#REF!</definedName>
    <definedName name="TAB03_PD42" localSheetId="10">'[2]03'!#REF!</definedName>
    <definedName name="TAB03_PD42" localSheetId="6">'[1]03'!#REF!</definedName>
    <definedName name="TAB03_PD42" localSheetId="2">#REF!</definedName>
    <definedName name="TAB03_PD42">#REF!</definedName>
    <definedName name="TAB03_PD43" localSheetId="4">'03'!#REF!</definedName>
    <definedName name="TAB03_PD43" localSheetId="10">'[2]03'!#REF!</definedName>
    <definedName name="TAB03_PD43" localSheetId="6">'[1]03'!#REF!</definedName>
    <definedName name="TAB03_PD43" localSheetId="2">#REF!</definedName>
    <definedName name="TAB03_PD43">#REF!</definedName>
    <definedName name="TAB03AN" localSheetId="4">'03'!#REF!</definedName>
    <definedName name="TAB03AN" localSheetId="10">'[2]03'!#REF!</definedName>
    <definedName name="TAB03AN" localSheetId="6">'[1]03'!#REF!</definedName>
    <definedName name="TAB03AN" localSheetId="2">#REF!</definedName>
    <definedName name="TAB03AN">#REF!</definedName>
    <definedName name="TAB03AN_DADOS" localSheetId="4">'03'!#REF!</definedName>
    <definedName name="TAB03AN_DADOS" localSheetId="10">'[2]03'!#REF!</definedName>
    <definedName name="TAB03AN_DADOS" localSheetId="6">'[1]03'!#REF!</definedName>
    <definedName name="TAB03AN_DADOS" localSheetId="2">#REF!</definedName>
    <definedName name="TAB03AN_DADOS">#REF!</definedName>
    <definedName name="TAB03AN_DATA_VAL" localSheetId="4">'03'!#REF!</definedName>
    <definedName name="TAB03AN_DATA_VAL" localSheetId="10">'[2]03'!#REF!</definedName>
    <definedName name="TAB03AN_DATA_VAL" localSheetId="6">'[1]03'!#REF!</definedName>
    <definedName name="TAB03AN_DATA_VAL" localSheetId="2">#REF!</definedName>
    <definedName name="TAB03AN_DATA_VAL">#REF!</definedName>
    <definedName name="TAB04">#REF!</definedName>
    <definedName name="TAB04_DADOS">#REF!</definedName>
    <definedName name="TAB04_DATA_VAL">#REF!</definedName>
    <definedName name="TAB04_PD02">#REF!</definedName>
    <definedName name="TAB04_PD03">#REF!</definedName>
    <definedName name="TAB04_PD04">#REF!</definedName>
    <definedName name="TAB04_PD05">#REF!</definedName>
    <definedName name="TAB04_PD06">#REF!</definedName>
    <definedName name="TAB04_PD07">#REF!</definedName>
    <definedName name="TAB04_PD08">#REF!</definedName>
    <definedName name="TAB04_PD09">#REF!</definedName>
    <definedName name="TAB04_PD10">#REF!</definedName>
    <definedName name="TAB04_PD11">#REF!</definedName>
    <definedName name="TAB04_PD12">#REF!</definedName>
    <definedName name="TAB04_PD13">#REF!</definedName>
    <definedName name="TAB04_PD14">#REF!</definedName>
    <definedName name="TAB04_PD15">#REF!</definedName>
    <definedName name="TAB04_PD16">#REF!</definedName>
    <definedName name="TAB04_PD17">#REF!</definedName>
    <definedName name="TAB04_PD18">#REF!</definedName>
    <definedName name="TAB04_PD19">#REF!</definedName>
    <definedName name="TAB04_PD20">#REF!</definedName>
    <definedName name="TAB04_PD21">#REF!</definedName>
    <definedName name="TAB04_PD22">#REF!</definedName>
    <definedName name="TAB04_PD23">#REF!</definedName>
    <definedName name="TAB04_PD24">#REF!</definedName>
    <definedName name="TAB04_PD25">#REF!</definedName>
    <definedName name="TAB04_PD26">#REF!</definedName>
    <definedName name="TAB04_PD27">#REF!</definedName>
    <definedName name="TAB04_PD28">#REF!</definedName>
    <definedName name="TAB04_PD29">#REF!</definedName>
    <definedName name="TAB04_PD30">#REF!</definedName>
    <definedName name="tab04_pd31">#REF!</definedName>
    <definedName name="TAB04_PD32">#REF!</definedName>
    <definedName name="TAB04_PD33">#REF!</definedName>
    <definedName name="TAB04_PD34">#REF!</definedName>
    <definedName name="TAB04_PD35">#REF!</definedName>
    <definedName name="TAB04_PD36">#REF!</definedName>
    <definedName name="TAB04_PD37">#REF!</definedName>
    <definedName name="TAB04_PD38">#REF!</definedName>
    <definedName name="TAB04_PD39">#REF!</definedName>
    <definedName name="TAB04_PD40">#REF!</definedName>
    <definedName name="TAB04_PD41">#REF!</definedName>
    <definedName name="TAB04_PD42">#REF!</definedName>
    <definedName name="TAB04_PD43">#REF!</definedName>
    <definedName name="TAB04_PD44">#REF!</definedName>
    <definedName name="TAB04_PD45">#REF!</definedName>
    <definedName name="TAB04_PD46">#REF!</definedName>
    <definedName name="TAB04PD37">#REF!</definedName>
    <definedName name="TAB05">'05'!$E$2:$I$62</definedName>
    <definedName name="TAB05_DADOS">'05'!$B$10:$C$18</definedName>
    <definedName name="TAB05_DATA_VAL" localSheetId="10">'[7]05'!$H$4</definedName>
    <definedName name="TAB05_DATA_VAL" localSheetId="15">'[3]05'!$H$4</definedName>
    <definedName name="TAB05_DATA_VAL" localSheetId="2">'[4]05'!$H$4</definedName>
    <definedName name="TAB05_DATA_VAL" localSheetId="3">'[4]05'!$H$4</definedName>
    <definedName name="TAB05_DATA_VAL">'05'!$H$4</definedName>
    <definedName name="TAB05_PD01" localSheetId="10">'[7]05'!$H$10</definedName>
    <definedName name="TAB05_PD01" localSheetId="15">'[3]05'!$H$10</definedName>
    <definedName name="TAB05_PD01" localSheetId="2">'[4]05'!$H$10</definedName>
    <definedName name="TAB05_PD01" localSheetId="3">'[4]05'!$H$10</definedName>
    <definedName name="TAB05_PD01">'05'!$H$10</definedName>
    <definedName name="TAB05_PD02" localSheetId="10">'[7]05'!$H$13</definedName>
    <definedName name="TAB05_PD02" localSheetId="15">'[3]05'!$H$13</definedName>
    <definedName name="TAB05_PD02" localSheetId="2">'[4]05'!$H$13</definedName>
    <definedName name="TAB05_PD02" localSheetId="3">'[4]05'!$H$13</definedName>
    <definedName name="TAB05_PD02">'05'!$H$13</definedName>
    <definedName name="TAB05_PD04" localSheetId="10">'[7]05'!$H$15</definedName>
    <definedName name="TAB05_PD04" localSheetId="15">'[3]05'!$H$15</definedName>
    <definedName name="TAB05_PD04" localSheetId="2">'[4]05'!$H$15</definedName>
    <definedName name="TAB05_PD04" localSheetId="3">'[4]05'!$H$15</definedName>
    <definedName name="TAB05_PD04">'05'!$H$15</definedName>
    <definedName name="TAB05_PD06" localSheetId="10">'[7]05'!$H$18</definedName>
    <definedName name="TAB05_PD06" localSheetId="15">'[3]05'!$H$18</definedName>
    <definedName name="TAB05_PD06" localSheetId="2">'[4]05'!$H$18</definedName>
    <definedName name="TAB05_PD06" localSheetId="3">'[4]05'!$H$18</definedName>
    <definedName name="TAB05_PD06">'05'!$H$18</definedName>
    <definedName name="TAB05_PD07" localSheetId="10">'[7]05'!$H$20</definedName>
    <definedName name="TAB05_PD07" localSheetId="15">'[3]05'!$H$20</definedName>
    <definedName name="TAB05_PD07" localSheetId="2">'[4]05'!$H$20</definedName>
    <definedName name="TAB05_PD07" localSheetId="3">'[4]05'!$H$20</definedName>
    <definedName name="TAB05_PD07">'05'!$H$20</definedName>
    <definedName name="TAB05_PD08" localSheetId="10">'[7]05'!$H$23</definedName>
    <definedName name="TAB05_PD08" localSheetId="15">'[3]05'!$H$23</definedName>
    <definedName name="TAB05_PD08" localSheetId="2">'[4]05'!$H$23</definedName>
    <definedName name="TAB05_PD08" localSheetId="3">'[4]05'!$H$23</definedName>
    <definedName name="TAB05_PD08">'05'!$H$23</definedName>
    <definedName name="TAB05_PD09" localSheetId="10">'[7]05'!$H$25</definedName>
    <definedName name="TAB05_PD09" localSheetId="15">'[3]05'!$H$25</definedName>
    <definedName name="TAB05_PD09" localSheetId="2">'[4]05'!$H$25</definedName>
    <definedName name="TAB05_PD09" localSheetId="3">'[4]05'!$H$25</definedName>
    <definedName name="TAB05_PD09">'05'!$H$25</definedName>
    <definedName name="TAB05_PD10" localSheetId="10">'[7]05'!$H$27</definedName>
    <definedName name="TAB05_PD10" localSheetId="15">'[3]05'!$H$27</definedName>
    <definedName name="TAB05_PD10" localSheetId="2">'[4]05'!$H$27</definedName>
    <definedName name="TAB05_PD10" localSheetId="3">'[4]05'!$H$27</definedName>
    <definedName name="TAB05_PD10">'05'!$H$27</definedName>
    <definedName name="TAB06_PD32" localSheetId="10">'[7]05'!$W$57</definedName>
    <definedName name="TAB06_PD32" localSheetId="15">'[3]05'!$W$57</definedName>
    <definedName name="TAB06_PD32" localSheetId="2">'[4]05'!$W$57</definedName>
    <definedName name="TAB06_PD32" localSheetId="3">'[4]05'!$W$57</definedName>
    <definedName name="TAB06_PD32">'05'!$W$57</definedName>
    <definedName name="TAB06A">'05'!$S$2:$X$63</definedName>
    <definedName name="TAB06A_DADOS">'05'!$K$10:$L$43</definedName>
    <definedName name="TAB06A_DATA_VAL" localSheetId="10">'[7]05'!$W$4</definedName>
    <definedName name="TAB06A_DATA_VAL" localSheetId="15">'[3]05'!$W$4</definedName>
    <definedName name="TAB06A_DATA_VAL" localSheetId="2">'[4]05'!$W$4</definedName>
    <definedName name="TAB06A_DATA_VAL" localSheetId="3">'[4]05'!$W$4</definedName>
    <definedName name="TAB06A_DATA_VAL">'05'!$W$4</definedName>
    <definedName name="TAB06AN_DADOS">'05'!$P$10:$Q$14</definedName>
    <definedName name="TAB06B" localSheetId="4">'[2]05'!#REF!</definedName>
    <definedName name="TAB06B" localSheetId="10">'[2]05'!#REF!</definedName>
    <definedName name="TAB06B" localSheetId="6">'[1]05'!#REF!</definedName>
    <definedName name="TAB06B" localSheetId="15">'[3]05'!#REF!</definedName>
    <definedName name="TAB06B" localSheetId="2">'[4]05'!#REF!</definedName>
    <definedName name="TAB06B" localSheetId="3">'[4]05'!#REF!</definedName>
    <definedName name="TAB06B">'05'!#REF!</definedName>
    <definedName name="TAB06B_DADOS">'05'!$M$10:$N$35</definedName>
    <definedName name="TAB06B_DATA_VAL" localSheetId="4">'[2]05'!#REF!</definedName>
    <definedName name="TAB06B_DATA_VAL" localSheetId="10">'[2]05'!#REF!</definedName>
    <definedName name="TAB06B_DATA_VAL" localSheetId="6">'[1]05'!#REF!</definedName>
    <definedName name="TAB06B_DATA_VAL" localSheetId="15">'[3]05'!#REF!</definedName>
    <definedName name="TAB06B_DATA_VAL" localSheetId="2">'[4]05'!#REF!</definedName>
    <definedName name="TAB06B_DATA_VAL" localSheetId="3">'[4]05'!#REF!</definedName>
    <definedName name="TAB06B_DATA_VAL">'05'!#REF!</definedName>
    <definedName name="TAB07">'10'!$K$2:$Q$61</definedName>
    <definedName name="TAB07_CCT">'07CE'!$Z$2:$AJ$62</definedName>
    <definedName name="TAB07_DADOS">'10'!$H$12:$I$17</definedName>
    <definedName name="TAB07_DATA_VAL" localSheetId="10">'[7]10'!$P$4</definedName>
    <definedName name="TAB07_DATA_VAL" localSheetId="15">'[3]10'!$P$4</definedName>
    <definedName name="TAB07_DATA_VAL" localSheetId="2">'[4]10'!$P$4</definedName>
    <definedName name="TAB07_DATA_VAL" localSheetId="3">'[4]10'!$P$4</definedName>
    <definedName name="TAB07_DATA_VAL">'10'!$P$4</definedName>
    <definedName name="TAB07CE">'07CE'!$C$2:$M$62</definedName>
    <definedName name="TAB07CE_DATA_VAL">'07CE'!$K$4</definedName>
    <definedName name="TAB08">#REF!</definedName>
    <definedName name="TAB08_DADOS">#REF!</definedName>
    <definedName name="TAB08_DATA_VAL">#REF!</definedName>
    <definedName name="TAB09" localSheetId="4">'[2]05'!#REF!</definedName>
    <definedName name="TAB09" localSheetId="10">'[2]05'!#REF!</definedName>
    <definedName name="TAB09" localSheetId="6">'[1]05'!#REF!</definedName>
    <definedName name="TAB09" localSheetId="15">'[3]05'!#REF!</definedName>
    <definedName name="TAB09" localSheetId="2">'[4]05'!#REF!</definedName>
    <definedName name="TAB09" localSheetId="3">'[4]05'!#REF!</definedName>
    <definedName name="TAB09">'05'!#REF!</definedName>
    <definedName name="TAB09_DADOS" localSheetId="4">'[2]05'!#REF!</definedName>
    <definedName name="TAB09_DADOS" localSheetId="10">'[2]05'!#REF!</definedName>
    <definedName name="TAB09_DADOS" localSheetId="6">'[1]05'!#REF!</definedName>
    <definedName name="TAB09_DADOS" localSheetId="15">'[3]05'!#REF!</definedName>
    <definedName name="TAB09_DADOS" localSheetId="2">'[4]05'!#REF!</definedName>
    <definedName name="TAB09_DADOS" localSheetId="3">'[4]05'!#REF!</definedName>
    <definedName name="TAB09_DADOS">'05'!#REF!</definedName>
    <definedName name="TAB09_DATA_VAL" localSheetId="4">'[2]05'!#REF!</definedName>
    <definedName name="TAB09_DATA_VAL" localSheetId="10">'[2]05'!#REF!</definedName>
    <definedName name="TAB09_DATA_VAL" localSheetId="6">'[1]05'!#REF!</definedName>
    <definedName name="TAB09_DATA_VAL" localSheetId="15">'[3]05'!#REF!</definedName>
    <definedName name="TAB09_DATA_VAL" localSheetId="2">'[4]05'!#REF!</definedName>
    <definedName name="TAB09_DATA_VAL" localSheetId="3">'[4]05'!#REF!</definedName>
    <definedName name="TAB09_DATA_VAL">'05'!#REF!</definedName>
    <definedName name="TAB10">'10'!$V$2:$AB$62</definedName>
    <definedName name="TAB10_DADOS">'10'!$S$11:$T$15</definedName>
    <definedName name="TAB10_DATA_VAL" localSheetId="10">'[7]10'!$AA$4</definedName>
    <definedName name="TAB10_DATA_VAL" localSheetId="15">'[3]10'!$AA$4</definedName>
    <definedName name="TAB10_DATA_VAL" localSheetId="2">'[4]10'!$AA$4</definedName>
    <definedName name="TAB10_DATA_VAL" localSheetId="3">'[4]10'!$AA$4</definedName>
    <definedName name="TAB10_DATA_VAL">'10'!$AA$4</definedName>
    <definedName name="TAB11">'11'!$D$2:$H$61</definedName>
    <definedName name="TAB11_DADOS">'11'!$A$10:$B$33</definedName>
    <definedName name="TAB11_DATA_VAL" localSheetId="10">'[7]11'!$G$4</definedName>
    <definedName name="TAB11_DATA_VAL" localSheetId="15">'[3]11'!$G$4</definedName>
    <definedName name="TAB11_DATA_VAL" localSheetId="2">'[4]11'!$G$4</definedName>
    <definedName name="TAB11_DATA_VAL" localSheetId="3">'[4]11'!$G$4</definedName>
    <definedName name="TAB11_DATA_VAL">'11'!$G$4</definedName>
    <definedName name="TAB12">'10'!$AG$2:$AM$62</definedName>
    <definedName name="TAB12_DADOS">'10'!$AD$11:$AE$38</definedName>
    <definedName name="TAB12_DATA_VAL" localSheetId="10">'[7]10'!$AK$4</definedName>
    <definedName name="TAB12_DATA_VAL" localSheetId="15">'[3]10'!$AK$4</definedName>
    <definedName name="TAB12_DATA_VAL" localSheetId="2">'[4]10'!$AK$4</definedName>
    <definedName name="TAB12_DATA_VAL" localSheetId="3">'[4]10'!$AK$4</definedName>
    <definedName name="TAB12_DATA_VAL">'10'!$AK$4</definedName>
    <definedName name="TAB13">'11'!$M$2:$Q$63</definedName>
    <definedName name="TAB13_DADOS">'11'!$J$10:$K$33</definedName>
    <definedName name="TAB13_DATA_VAL" localSheetId="10">'[7]11'!$P$4</definedName>
    <definedName name="TAB13_DATA_VAL" localSheetId="15">'[3]11'!$P$4</definedName>
    <definedName name="TAB13_DATA_VAL" localSheetId="2">'[4]11'!$P$4</definedName>
    <definedName name="TAB13_DATA_VAL" localSheetId="3">'[4]11'!$P$4</definedName>
    <definedName name="TAB13_DATA_VAL">'11'!$P$4</definedName>
    <definedName name="TAB14">'10'!$AR$2:$AZ$65</definedName>
    <definedName name="TAB14_DADOS">'10'!$AO$8:$AP$107</definedName>
    <definedName name="TAB14_DATA_VAL" localSheetId="10">'[7]10'!$AY$4</definedName>
    <definedName name="TAB14_DATA_VAL" localSheetId="15">'[3]10'!$AY$4</definedName>
    <definedName name="TAB14_DATA_VAL" localSheetId="2">'[4]10'!$AY$4</definedName>
    <definedName name="TAB14_DATA_VAL" localSheetId="3">'[4]10'!$AY$4</definedName>
    <definedName name="TAB14_DATA_VAL">'10'!$AY$4</definedName>
    <definedName name="TAB14A">'10'!$BI$2:$BN$62</definedName>
    <definedName name="TAB14A_DATA_VAL">'10'!$BN$4</definedName>
    <definedName name="TAB14AN">'10'!$BP$2:$BX$65</definedName>
    <definedName name="TAB14D">'10'!$BB$2:$BF$35</definedName>
    <definedName name="TAB14D_DATA_VAL">'10'!$BF$4</definedName>
    <definedName name="TAB15">'01'!$DH$2:$DQ$49</definedName>
    <definedName name="TAB15_DATA_VAL">'01'!$DN$4</definedName>
    <definedName name="TAB15A">'01'!$DT$2:$EC$61</definedName>
    <definedName name="TAB15A_DATA_VAL">'01'!$EB$4</definedName>
    <definedName name="TAB16" localSheetId="10">'16'!$E$2:$Q$70</definedName>
    <definedName name="TAB16">#REF!</definedName>
    <definedName name="TAB16_DADOS" localSheetId="10">'16'!$B$8:$C$126</definedName>
    <definedName name="TAB16_DADOS">#REF!</definedName>
    <definedName name="TAB16_DATA_VAL" localSheetId="10">'16'!$P$4:$Q$4</definedName>
    <definedName name="TAB16_DATA_VAL">#REF!</definedName>
    <definedName name="TAB17">'10'!$CC$2:$CK$62</definedName>
    <definedName name="TAB17_DADOS">'10'!$BZ$10:$CA$46</definedName>
    <definedName name="TAB17_DATA_VAL" localSheetId="10">'[7]10'!$CJ$4</definedName>
    <definedName name="TAB17_DATA_VAL" localSheetId="15">'[3]10'!$CJ$4</definedName>
    <definedName name="TAB17_DATA_VAL" localSheetId="2">'[4]10'!$CJ$4</definedName>
    <definedName name="TAB17_DATA_VAL" localSheetId="3">'[4]10'!$CJ$4</definedName>
    <definedName name="TAB17_DATA_VAL">'10'!$CJ$4</definedName>
    <definedName name="TAB17_PISO">'10'!$CM$2:$CT$35</definedName>
    <definedName name="TAB17_PISO_DATA_VAL">'10'!$DD$4</definedName>
    <definedName name="TAB18">'07CE'!$Z$2:$AJ$62</definedName>
    <definedName name="TAB18_DATA_VAL">'07CE'!$AH$4</definedName>
    <definedName name="TAB19">'01'!$EH$2:$ER$60</definedName>
    <definedName name="TAB19_DADOS">'01'!$EE$11:$EF$57</definedName>
    <definedName name="TAB19_DATA_VAL" localSheetId="10">'[7]01'!$EQ$4</definedName>
    <definedName name="TAB19_DATA_VAL" localSheetId="15">'[3]01'!$EJ$4</definedName>
    <definedName name="TAB19_DATA_VAL" localSheetId="2">'[4]01'!$EJ$4</definedName>
    <definedName name="TAB19_DATA_VAL" localSheetId="3">'[4]01'!$EJ$4</definedName>
    <definedName name="TAB19_DATA_VAL">'01'!$EQ$4</definedName>
    <definedName name="TAB20">'05'!$AD$2:$AK$62</definedName>
    <definedName name="TAB20_DADOS">'05'!$AA$12:$AB$22</definedName>
    <definedName name="TAB20_DATA_VAL" localSheetId="10">'[7]05'!$AJ$4</definedName>
    <definedName name="TAB20_DATA_VAL" localSheetId="15">'[3]05'!$AJ$4</definedName>
    <definedName name="TAB20_DATA_VAL" localSheetId="2">'[4]05'!$AJ$4</definedName>
    <definedName name="TAB20_DATA_VAL" localSheetId="3">'[4]05'!$AJ$4</definedName>
    <definedName name="TAB20_DATA_VAL">'05'!$AJ$4</definedName>
    <definedName name="TAB21">'05'!$AP$2:$AW$62</definedName>
    <definedName name="TAB21_DADOS">'05'!$AM$12:$AN$22</definedName>
    <definedName name="TAB21_DATA_VAL" localSheetId="10">'[7]05'!$AV$4</definedName>
    <definedName name="TAB21_DATA_VAL" localSheetId="15">'[3]05'!$AV$4</definedName>
    <definedName name="TAB21_DATA_VAL" localSheetId="2">'[4]05'!$AV$4</definedName>
    <definedName name="TAB21_DATA_VAL" localSheetId="3">'[4]05'!$AV$4</definedName>
    <definedName name="TAB21_DATA_VAL">'05'!$AV$4</definedName>
    <definedName name="TAB22">'05'!$BB$2:$BI$62</definedName>
    <definedName name="TAB22_DADOS">'05'!$AY$12:$AZ$17</definedName>
    <definedName name="TAB22_DATA_VAL" localSheetId="10">'[7]05'!$BH$4</definedName>
    <definedName name="TAB22_DATA_VAL" localSheetId="15">'[3]05'!$BH$4</definedName>
    <definedName name="TAB22_DATA_VAL" localSheetId="2">'[4]05'!$BH$4</definedName>
    <definedName name="TAB22_DATA_VAL" localSheetId="3">'[4]05'!$BH$4</definedName>
    <definedName name="TAB22_DATA_VAL">'05'!$BH$4</definedName>
    <definedName name="TAB25">'10'!$DK$2:$DS$65</definedName>
    <definedName name="TAB25_DADOS">'10'!$DH$8:$DI$107</definedName>
    <definedName name="TAB25_DATA_VAL" localSheetId="10">'[7]10'!$DR$4</definedName>
    <definedName name="TAB25_DATA_VAL" localSheetId="15">'[3]10'!$DR$4</definedName>
    <definedName name="TAB25_DATA_VAL" localSheetId="2">'[4]10'!$DR$4</definedName>
    <definedName name="TAB25_DATA_VAL" localSheetId="3">'[4]10'!$DR$4</definedName>
    <definedName name="TAB25_DATA_VAL">'10'!$DR$4</definedName>
    <definedName name="TAB26">'10'!$DX$2:$EF$62</definedName>
    <definedName name="TAB26_DADOS">'10'!$DU$8:$DV$92</definedName>
    <definedName name="TAB26_DATA_VAL" localSheetId="10">'[7]10'!$EE$4</definedName>
    <definedName name="TAB26_DATA_VAL" localSheetId="15">'[3]10'!$EE$4</definedName>
    <definedName name="TAB26_DATA_VAL" localSheetId="2">'[4]10'!$EE$4</definedName>
    <definedName name="TAB26_DATA_VAL" localSheetId="3">'[4]10'!$EE$4</definedName>
    <definedName name="TAB26_DATA_VAL">'10'!$EE$4</definedName>
    <definedName name="TAB27_DADOS">'10'!$EH$8:$EI$60</definedName>
    <definedName name="TAB27_DATA_VAL" localSheetId="10">'[7]10'!$ER$4</definedName>
    <definedName name="TAB27_DATA_VAL" localSheetId="15">'[3]10'!$ER$4</definedName>
    <definedName name="TAB27_DATA_VAL" localSheetId="2">'[4]10'!$ER$4</definedName>
    <definedName name="TAB27_DATA_VAL" localSheetId="3">'[4]10'!$ER$4</definedName>
    <definedName name="TAB27_DATA_VAL">'10'!$ER$4</definedName>
    <definedName name="TAB27A">'10'!$EK$2:$ES$62</definedName>
    <definedName name="TAB27A_DADOS">'10'!$EK$2:$ES$62</definedName>
    <definedName name="TAB27A_DATA_VAL">'10'!$ER$4:$ES$4</definedName>
    <definedName name="TAB27B">'10'!$EU$2:$FB$62</definedName>
    <definedName name="TAB27B_DATA_VAL">'10'!$FA$4</definedName>
    <definedName name="TAB28">'28'!$E$2:$I$51</definedName>
    <definedName name="TAB28_DADOS">'28'!$B$12:$C$25</definedName>
    <definedName name="TAB28_DATA_VAL" localSheetId="10">'[7]28'!$H$4</definedName>
    <definedName name="TAB28_DATA_VAL" localSheetId="15">'[3]28'!$H$4</definedName>
    <definedName name="TAB28_DATA_VAL" localSheetId="2">'[4]28'!$H$4</definedName>
    <definedName name="TAB28_DATA_VAL" localSheetId="3">'[4]28'!$H$4</definedName>
    <definedName name="TAB28_DATA_VAL">'28'!$H$4</definedName>
    <definedName name="TAB29">'28'!$N$2:$R$51</definedName>
    <definedName name="TAB29_DADOS">'28'!$K$10:$L$23</definedName>
    <definedName name="TAB29_DATA_VAL" localSheetId="10">'[7]28'!$Q$4</definedName>
    <definedName name="TAB29_DATA_VAL" localSheetId="15">'[3]28'!$Q$4</definedName>
    <definedName name="TAB29_DATA_VAL" localSheetId="2">'[4]28'!$Q$4</definedName>
    <definedName name="TAB29_DATA_VAL" localSheetId="3">'[4]28'!$Q$4</definedName>
    <definedName name="TAB29_DATA_VAL">'28'!$Q$4</definedName>
    <definedName name="TAB30">'10'!$FG$2:$FK$62</definedName>
    <definedName name="TAB30_DADOS">'10'!$FD$12:$FE$23</definedName>
    <definedName name="TAB30_DATA_VAL" localSheetId="10">'[7]10'!$FJ$4</definedName>
    <definedName name="TAB30_DATA_VAL" localSheetId="15">'[3]10'!$FJ$4</definedName>
    <definedName name="TAB30_DATA_VAL" localSheetId="2">'[4]10'!$FJ$4</definedName>
    <definedName name="TAB30_DATA_VAL" localSheetId="3">'[4]10'!$FJ$4</definedName>
    <definedName name="TAB30_DATA_VAL">'10'!$FJ$4</definedName>
    <definedName name="TAB31" localSheetId="15">'39'!$E$2:$U$41</definedName>
    <definedName name="TAB31">#REF!</definedName>
    <definedName name="TAB31_DADOS" localSheetId="15">'39'!$B$10:$C$52</definedName>
    <definedName name="TAB31_DADOS">#REF!</definedName>
    <definedName name="TAB31_DATA_VAL" localSheetId="15">'39'!$R$4</definedName>
    <definedName name="TAB31_DATA_VAL">#REF!</definedName>
    <definedName name="TAB32">'32'!$E$2:$K$45</definedName>
    <definedName name="TAB32_DADOS">'32'!$B$10:$C$21</definedName>
    <definedName name="TAB32_DATA_VAL" localSheetId="10">'[7]32'!$J$4</definedName>
    <definedName name="TAB32_DATA_VAL" localSheetId="15">'[3]32'!$J$4</definedName>
    <definedName name="TAB32_DATA_VAL" localSheetId="2">'[4]32'!$J$4</definedName>
    <definedName name="TAB32_DATA_VAL" localSheetId="3">'[4]32'!$J$4</definedName>
    <definedName name="TAB32_DATA_VAL">'32'!$J$4</definedName>
    <definedName name="TAB32_DATAVAL">'32'!$J$4</definedName>
    <definedName name="TAB33" localSheetId="14">'34'!$G$2:$O$40</definedName>
    <definedName name="TAB33">'33'!$E$2:$K$40</definedName>
    <definedName name="TAB33_DADOS" localSheetId="14">'34'!$B$10:$C$32</definedName>
    <definedName name="TAB33_DADOS">'33'!$B$10:$C$32</definedName>
    <definedName name="TAB33_DATA_VAL" localSheetId="10">'[7]33'!$J$4</definedName>
    <definedName name="TAB33_DATA_VAL" localSheetId="15">'[3]33'!$J$4</definedName>
    <definedName name="TAB33_DATA_VAL" localSheetId="2">'[4]33'!$J$4</definedName>
    <definedName name="TAB33_DATA_VAL" localSheetId="3">'[4]33'!$J$4</definedName>
    <definedName name="TAB33_DATA_VAL">'33'!$J$4</definedName>
    <definedName name="TAB34">'34'!$G$2:$O$35</definedName>
    <definedName name="TAB34_DADOS">'34'!$D$9:$E$58</definedName>
    <definedName name="TAB34_DATA_VAL" localSheetId="10">'[7]34'!$N$4</definedName>
    <definedName name="TAB34_DATA_VAL" localSheetId="15">'[3]34'!$N$4</definedName>
    <definedName name="TAB34_DATA_VAL" localSheetId="2">'[4]34'!$N$4</definedName>
    <definedName name="TAB34_DATA_VAL" localSheetId="3">'[4]34'!$N$4</definedName>
    <definedName name="TAB34_DATA_VAL">'34'!$N$4</definedName>
    <definedName name="TAB34A">'34'!$Q$2:$V$35</definedName>
    <definedName name="TAB35">'34'!$AA$2:$AG$35</definedName>
    <definedName name="TAB35_DADOS">'34'!$X$9:$Y$17</definedName>
    <definedName name="TAB35_DATA_VAL">'34'!$AF$4</definedName>
    <definedName name="TAB37">'10'!$CX$2:$DF$64</definedName>
    <definedName name="TAB37_DADOS">'10'!$CU$12:$CV$48</definedName>
    <definedName name="TAB37_DATA_VAL" localSheetId="10">'[7]10'!$DE$4</definedName>
    <definedName name="TAB37_DATA_VAL" localSheetId="15">'[3]10'!$DE$4</definedName>
    <definedName name="TAB37_DATA_VAL" localSheetId="2">'[4]10'!$DE$4</definedName>
    <definedName name="TAB37_DATA_VAL" localSheetId="3">'[4]10'!$DE$4</definedName>
    <definedName name="TAB37_DATA_VAL">'10'!$DE$4</definedName>
    <definedName name="TAB38">'38'!$E$2:$N$57</definedName>
    <definedName name="TAB38_DADOS">'38'!$B$11:$C$41</definedName>
    <definedName name="TAB38_DATA_VAL" localSheetId="10">'[7]38'!$K$4</definedName>
    <definedName name="TAB38_DATA_VAL" localSheetId="15">'[3]38'!$K$4</definedName>
    <definedName name="TAB38_DATA_VAL" localSheetId="2">'[4]38'!$K$4</definedName>
    <definedName name="TAB38_DATA_VAL" localSheetId="3">'[4]38'!$K$4</definedName>
    <definedName name="TAB38_DATA_VAL">'38'!$K$4</definedName>
    <definedName name="TAB39">'39'!$E$2:$U$41</definedName>
    <definedName name="TAB39_DADOS">'39'!$B$10:$C$94</definedName>
    <definedName name="TAB39_DATA_VAL" localSheetId="10">'[7]39'!$P$4</definedName>
    <definedName name="TAB39_DATA_VAL" localSheetId="2">'[4]39'!$P$4</definedName>
    <definedName name="TAB39_DATA_VAL" localSheetId="3">'[4]39'!$P$4</definedName>
    <definedName name="TAB39_DATA_VAL">'39'!$R$4</definedName>
    <definedName name="TAB40">'40'!$E$2:$O$32</definedName>
    <definedName name="TAB40_DADOS">'40'!$B$11:$C$31</definedName>
    <definedName name="TAB40_DATA_VAL" localSheetId="10">'[7]40'!$N$4</definedName>
    <definedName name="TAB40_DATA_VAL">'40'!$N$4</definedName>
    <definedName name="TAB41">'41'!$E$2:$O$47</definedName>
    <definedName name="TAB41_DADOS">'41'!$B$8:$C$128</definedName>
    <definedName name="TAB41_DATA_VAL" localSheetId="10">'[7]41'!$N$3</definedName>
    <definedName name="TAB41_DATA_VAL" localSheetId="2">'[5]41'!$N$3</definedName>
    <definedName name="TAB41_DATA_VAL" localSheetId="3">'[5]41'!$N$3</definedName>
    <definedName name="TAB41_DATA_VAL">'41'!$N$3</definedName>
    <definedName name="TAB42" localSheetId="2">'[6]42'!$E$2:$O$32</definedName>
    <definedName name="TAB42">'42'!$E$2:$O$32</definedName>
    <definedName name="TAB42_DADOS">'42'!$B$11:$C$47</definedName>
    <definedName name="TAB42_DATA_VAL" localSheetId="10">'[7]42'!$N$4</definedName>
    <definedName name="TAB42_DATA_VAL" localSheetId="2">'[6]42'!$N$4</definedName>
    <definedName name="TAB42_DATA_VAL">'42'!$N$4</definedName>
    <definedName name="TABFG">'10'!$FN$2:$FW$64</definedName>
    <definedName name="TABFG_DATA_VAL">'10'!$FV$6</definedName>
    <definedName name="TabsPlans">#REF!</definedName>
    <definedName name="TEC_D_40" localSheetId="10">'[7]01'!#REF!</definedName>
    <definedName name="TEC_D_40" localSheetId="15">'[3]01'!#REF!</definedName>
    <definedName name="TEC_D_40" localSheetId="2">'[4]01'!#REF!</definedName>
    <definedName name="TEC_D_40" localSheetId="3">'[4]01'!#REF!</definedName>
    <definedName name="TEC_D_40">'01'!#REF!</definedName>
    <definedName name="TEC_PLAN_D" localSheetId="10">'[7]10'!#REF!</definedName>
    <definedName name="TEC_PLAN_D" localSheetId="15">'[3]10'!#REF!</definedName>
    <definedName name="TEC_PLAN_D" localSheetId="2">'[4]10'!#REF!</definedName>
    <definedName name="TEC_PLAN_D" localSheetId="3">'[4]10'!#REF!</definedName>
    <definedName name="TEC_PLAN_D">'10'!#REF!</definedName>
    <definedName name="TETO" localSheetId="10">'[7]01'!$B$10</definedName>
    <definedName name="TETO" localSheetId="15">'[3]01'!$B$10</definedName>
    <definedName name="TETO" localSheetId="2">'[4]01'!$B$10</definedName>
    <definedName name="TETO" localSheetId="3">'[4]01'!$B$10</definedName>
    <definedName name="TETO">'01'!$B$10</definedName>
    <definedName name="TPAUT_MAG_DADOS">'10'!$A$5:$B$7</definedName>
    <definedName name="TPAUT_MAG_DATA_VAL">'10'!$B$5</definedName>
    <definedName name="TSAL_MIN">'01'!$I$3:$K$14</definedName>
    <definedName name="TSAL_MIN_DADOS">'01'!$E$9:$F$12</definedName>
    <definedName name="TSAL_MIN_DATA_VAL">'01'!$F$9</definedName>
    <definedName name="TTE_A" localSheetId="10">'[7]11'!$P$26</definedName>
    <definedName name="TTE_A" localSheetId="15">'[3]11'!$P$26</definedName>
    <definedName name="TTE_A" localSheetId="2">'[4]11'!$P$26</definedName>
    <definedName name="TTE_A" localSheetId="3">'[4]11'!$P$26</definedName>
    <definedName name="TTE_A">'11'!$P$26</definedName>
    <definedName name="TTE_A_AD">'11'!$P$69</definedName>
    <definedName name="TTE_D" localSheetId="10">'[7]11'!$P$29</definedName>
    <definedName name="TTE_D" localSheetId="15">'[3]11'!$P$29</definedName>
    <definedName name="TTE_D" localSheetId="2">'[4]11'!$P$29</definedName>
    <definedName name="TTE_D" localSheetId="3">'[4]11'!$P$29</definedName>
    <definedName name="TTE_D">'11'!$P$29</definedName>
    <definedName name="TTE_D_AD">'11'!$P$70</definedName>
    <definedName name="TTE_E" localSheetId="10">'[7]11'!$P$30</definedName>
    <definedName name="TTE_E" localSheetId="15">'[3]11'!$P$30</definedName>
    <definedName name="TTE_E" localSheetId="2">'[4]11'!$P$30</definedName>
    <definedName name="TTE_E" localSheetId="3">'[4]11'!$P$30</definedName>
    <definedName name="TTE_E">'11'!$P$30</definedName>
    <definedName name="TYAB04_PD17">#REF!</definedName>
    <definedName name="UNIDOCENCIA" localSheetId="10">'[7]10'!#REF!</definedName>
    <definedName name="UNIDOCENCIA" localSheetId="15">'[3]10'!#REF!</definedName>
    <definedName name="UNIDOCENCIA" localSheetId="2">'[4]10'!#REF!</definedName>
    <definedName name="UNIDOCENCIA" localSheetId="3">'[4]10'!#REF!</definedName>
    <definedName name="UNIDOCENCIA">'10'!#REF!</definedName>
    <definedName name="VIG_01_22" localSheetId="15">'39'!#REF!</definedName>
    <definedName name="VIG_01_22" localSheetId="2">#REF!</definedName>
    <definedName name="VIG_01_22">#REF!</definedName>
    <definedName name="VIG_23_58" localSheetId="15">'39'!#REF!</definedName>
    <definedName name="VIG_23_58" localSheetId="2">#REF!</definedName>
    <definedName name="VIG_23_58">#REF!</definedName>
    <definedName name="VIG_AL" localSheetId="10">'[7]28'!#REF!</definedName>
    <definedName name="VIG_AL" localSheetId="15">'[3]28'!#REF!</definedName>
    <definedName name="VIG_AL" localSheetId="2">'[4]28'!#REF!</definedName>
    <definedName name="VIG_AL" localSheetId="3">'[4]28'!#REF!</definedName>
    <definedName name="VIG_AL">'28'!#REF!</definedName>
    <definedName name="VIG_AULA_DADA" localSheetId="4">'03'!#REF!</definedName>
    <definedName name="VIG_AULA_DADA">#REF!</definedName>
    <definedName name="VIG_BASE_PREV">'01'!$C$11</definedName>
    <definedName name="VIG_BASE_PREV2">'01'!$C$12</definedName>
    <definedName name="VIG_BM" localSheetId="4">'03'!#REF!</definedName>
    <definedName name="VIG_BM">#REF!</definedName>
    <definedName name="VIG_BM_SUP" localSheetId="4">'03'!#REF!</definedName>
    <definedName name="VIG_BM_SUP">#REF!</definedName>
    <definedName name="VIG_CAIXA_INF" localSheetId="10">'[7]34'!#REF!</definedName>
    <definedName name="VIG_CAIXA_INF" localSheetId="15">'[3]34'!#REF!</definedName>
    <definedName name="VIG_CAIXA_INF" localSheetId="2">'[4]34'!#REF!</definedName>
    <definedName name="VIG_CAIXA_INF" localSheetId="3">'[4]34'!#REF!</definedName>
    <definedName name="VIG_CAIXA_INF">'34'!#REF!</definedName>
    <definedName name="VIG_CAIXA_SUP" localSheetId="10">'[7]34'!#REF!</definedName>
    <definedName name="VIG_CAIXA_SUP" localSheetId="15">'[3]34'!#REF!</definedName>
    <definedName name="VIG_CAIXA_SUP" localSheetId="2">'[4]34'!#REF!</definedName>
    <definedName name="VIG_CAIXA_SUP" localSheetId="3">'[4]34'!#REF!</definedName>
    <definedName name="VIG_CAIXA_SUP">'34'!#REF!</definedName>
    <definedName name="VIG_CC_PGE" localSheetId="10">'[7]10'!#REF!</definedName>
    <definedName name="VIG_CC_PGE" localSheetId="15">'[3]10'!#REF!</definedName>
    <definedName name="VIG_CC_PGE" localSheetId="2">'[4]10'!#REF!</definedName>
    <definedName name="VIG_CC_PGE" localSheetId="3">'[4]10'!#REF!</definedName>
    <definedName name="VIG_CC_PGE">'10'!#REF!</definedName>
    <definedName name="VIG_CCEX" localSheetId="10">'[7]33'!#REF!</definedName>
    <definedName name="VIG_CCEX" localSheetId="14">'33'!#REF!</definedName>
    <definedName name="VIG_CCEX" localSheetId="15">'[3]33'!#REF!</definedName>
    <definedName name="VIG_CCEX" localSheetId="2">'[4]33'!#REF!</definedName>
    <definedName name="VIG_CCEX" localSheetId="3">'[4]33'!#REF!</definedName>
    <definedName name="VIG_CCEX">'33'!#REF!</definedName>
    <definedName name="VIG_CEE" localSheetId="10">'[7]10'!#REF!</definedName>
    <definedName name="VIG_CEE" localSheetId="15">'[3]10'!#REF!</definedName>
    <definedName name="VIG_CEE" localSheetId="2">'[4]10'!#REF!</definedName>
    <definedName name="VIG_CEE" localSheetId="3">'[4]10'!#REF!</definedName>
    <definedName name="VIG_CEE">'10'!#REF!</definedName>
    <definedName name="VIG_CRIM_TEC_PENIT" localSheetId="10">'16'!#REF!</definedName>
    <definedName name="VIG_CRIM_TEC_PENIT">#REF!</definedName>
    <definedName name="VIG_DEFENS" localSheetId="10">'[7]10'!#REF!</definedName>
    <definedName name="VIG_DEFENS" localSheetId="15">'[3]10'!#REF!</definedName>
    <definedName name="VIG_DEFENS" localSheetId="2">'[4]10'!#REF!</definedName>
    <definedName name="VIG_DEFENS" localSheetId="3">'[4]10'!#REF!</definedName>
    <definedName name="VIG_DEFENS">'10'!#REF!</definedName>
    <definedName name="VIG_DELEG_CHEFES" localSheetId="4">'03'!#REF!</definedName>
    <definedName name="VIG_DELEG_CHEFES">#REF!</definedName>
    <definedName name="VIG_DESEMB" localSheetId="10">'[7]05'!#REF!</definedName>
    <definedName name="VIG_DESEMB" localSheetId="15">'[3]05'!#REF!</definedName>
    <definedName name="VIG_DESEMB" localSheetId="2">'[4]05'!#REF!</definedName>
    <definedName name="VIG_DESEMB" localSheetId="3">'[4]05'!#REF!</definedName>
    <definedName name="VIG_DESEMB">'05'!#REF!</definedName>
    <definedName name="VIG_DP" localSheetId="10">'[7]05'!#REF!</definedName>
    <definedName name="VIG_DP" localSheetId="15">'[3]05'!#REF!</definedName>
    <definedName name="VIG_DP" localSheetId="2">'[4]05'!#REF!</definedName>
    <definedName name="VIG_DP" localSheetId="3">'[4]05'!#REF!</definedName>
    <definedName name="VIG_DP">'05'!#REF!</definedName>
    <definedName name="VIG_EXT_GIPT16" localSheetId="10">'16'!#REF!</definedName>
    <definedName name="VIG_EXT_GIPT16">#REF!</definedName>
    <definedName name="VIG_FMMAG" localSheetId="10">'[7]10'!#REF!</definedName>
    <definedName name="VIG_FMMAG" localSheetId="15">'[3]10'!#REF!</definedName>
    <definedName name="VIG_FMMAG" localSheetId="2">'[4]10'!#REF!</definedName>
    <definedName name="VIG_FMMAG" localSheetId="3">'[4]10'!#REF!</definedName>
    <definedName name="VIG_FMMAG">'10'!#REF!</definedName>
    <definedName name="VIG_GD" localSheetId="10">'[7]10'!#REF!</definedName>
    <definedName name="VIG_GD" localSheetId="15">'[3]10'!#REF!</definedName>
    <definedName name="VIG_GD" localSheetId="2">'[4]10'!#REF!</definedName>
    <definedName name="VIG_GD" localSheetId="3">'[4]10'!#REF!</definedName>
    <definedName name="VIG_GD">'10'!#REF!</definedName>
    <definedName name="VIG_GERAL" localSheetId="10">'[7]10'!#REF!</definedName>
    <definedName name="VIG_GERAL" localSheetId="15">'[3]10'!#REF!</definedName>
    <definedName name="VIG_GERAL" localSheetId="2">'[4]10'!#REF!</definedName>
    <definedName name="VIG_GERAL" localSheetId="3">'[4]10'!#REF!</definedName>
    <definedName name="VIG_GERAL">'10'!#REF!</definedName>
    <definedName name="VIG_INC_DAE" localSheetId="10">'[7]10'!#REF!</definedName>
    <definedName name="VIG_INC_DAE" localSheetId="15">'[3]10'!#REF!</definedName>
    <definedName name="VIG_INC_DAE" localSheetId="2">'[4]10'!#REF!</definedName>
    <definedName name="VIG_INC_DAE" localSheetId="3">'[4]10'!#REF!</definedName>
    <definedName name="VIG_INC_DAE">'10'!#REF!</definedName>
    <definedName name="VIG_INC_DE" localSheetId="10">'[7]10'!#REF!</definedName>
    <definedName name="VIG_INC_DE" localSheetId="15">'[3]10'!#REF!</definedName>
    <definedName name="VIG_INC_DE" localSheetId="2">'[4]10'!#REF!</definedName>
    <definedName name="VIG_INC_DE" localSheetId="3">'[4]10'!#REF!</definedName>
    <definedName name="VIG_INC_DE">'10'!#REF!</definedName>
    <definedName name="VIG_INC_GIT">'01'!$C$8</definedName>
    <definedName name="VIG_INC_PA" localSheetId="10">'[7]01'!#REF!</definedName>
    <definedName name="VIG_INC_PA" localSheetId="15">'[3]01'!#REF!</definedName>
    <definedName name="VIG_INC_PA" localSheetId="2">'[4]01'!#REF!</definedName>
    <definedName name="VIG_INC_PA" localSheetId="3">'[4]01'!#REF!</definedName>
    <definedName name="VIG_INC_PA">'01'!#REF!</definedName>
    <definedName name="VIG_INC_SUS" localSheetId="15">'39'!#REF!</definedName>
    <definedName name="VIG_INC_SUS" localSheetId="2">#REF!</definedName>
    <definedName name="VIG_INC_SUS">#REF!</definedName>
    <definedName name="VIG_INSTIT_SUP" localSheetId="10">'16'!#REF!</definedName>
    <definedName name="VIG_INSTIT_SUP">#REF!</definedName>
    <definedName name="VIG_INSTITUTOS" localSheetId="10">'16'!#REF!</definedName>
    <definedName name="VIG_INSTITUTOS">#REF!</definedName>
    <definedName name="VIG_JETONS">'01'!$C$7</definedName>
    <definedName name="VIG_JUS" localSheetId="10">'[7]10'!#REF!</definedName>
    <definedName name="VIG_JUS" localSheetId="15">'[3]10'!#REF!</definedName>
    <definedName name="VIG_JUS" localSheetId="2">'[4]10'!#REF!</definedName>
    <definedName name="VIG_JUS" localSheetId="3">'[4]10'!#REF!</definedName>
    <definedName name="VIG_JUS">'10'!#REF!</definedName>
    <definedName name="VIG_JUSTICA">#REF!</definedName>
    <definedName name="VIG_MAG" localSheetId="10">'[7]10'!#REF!</definedName>
    <definedName name="VIG_MAG" localSheetId="15">'[3]10'!#REF!</definedName>
    <definedName name="VIG_MAG" localSheetId="2">'[4]10'!#REF!</definedName>
    <definedName name="VIG_MAG" localSheetId="3">'[4]10'!#REF!</definedName>
    <definedName name="VIG_MAG">'10'!#REF!</definedName>
    <definedName name="VIG_MAG_EX" localSheetId="10">'[7]10'!#REF!</definedName>
    <definedName name="VIG_MAG_EX" localSheetId="15">'[3]10'!#REF!</definedName>
    <definedName name="VIG_MAG_EX" localSheetId="2">'[4]10'!#REF!</definedName>
    <definedName name="VIG_MAG_EX" localSheetId="3">'[4]10'!#REF!</definedName>
    <definedName name="VIG_MAG_EX">'10'!#REF!</definedName>
    <definedName name="VIG_MAG_JUD" localSheetId="10">'[7]10'!#REF!</definedName>
    <definedName name="VIG_MAG_JUD" localSheetId="15">'[3]10'!#REF!</definedName>
    <definedName name="VIG_MAG_JUD" localSheetId="2">'[4]10'!#REF!</definedName>
    <definedName name="VIG_MAG_JUD" localSheetId="3">'[4]10'!#REF!</definedName>
    <definedName name="VIG_MAG_JUD">'10'!#REF!</definedName>
    <definedName name="VIG_PARC_TEC_CIEN">'01'!$C$14</definedName>
    <definedName name="VIG_PARC_TEC_PLAN">'01'!$C$20</definedName>
    <definedName name="VIG_PAUT_MAG" localSheetId="10">'[7]10'!#REF!</definedName>
    <definedName name="VIG_PAUT_MAG" localSheetId="15">'[3]10'!#REF!</definedName>
    <definedName name="VIG_PAUT_MAG" localSheetId="2">'[4]10'!#REF!</definedName>
    <definedName name="VIG_PAUT_MAG" localSheetId="3">'[4]10'!#REF!</definedName>
    <definedName name="VIG_PAUT_MAG">'10'!#REF!</definedName>
    <definedName name="VIG_PEPA">'01'!$C$6</definedName>
    <definedName name="VIG_PGE" localSheetId="10">'[7]05'!#REF!</definedName>
    <definedName name="VIG_PGE" localSheetId="15">'[3]05'!#REF!</definedName>
    <definedName name="VIG_PGE" localSheetId="2">'[4]05'!#REF!</definedName>
    <definedName name="VIG_PGE" localSheetId="3">'[4]05'!#REF!</definedName>
    <definedName name="VIG_PGE">'05'!#REF!</definedName>
    <definedName name="VIG_PGE2" localSheetId="10">'[7]10'!#REF!</definedName>
    <definedName name="VIG_PGE2" localSheetId="15">'[3]10'!#REF!</definedName>
    <definedName name="VIG_PGE2" localSheetId="2">'[4]10'!#REF!</definedName>
    <definedName name="VIG_PGE2" localSheetId="3">'[4]10'!#REF!</definedName>
    <definedName name="VIG_PGE2">'10'!#REF!</definedName>
    <definedName name="VIG_PGJ" localSheetId="10">'[7]05'!#REF!</definedName>
    <definedName name="VIG_PGJ" localSheetId="15">'[3]05'!#REF!</definedName>
    <definedName name="VIG_PGJ" localSheetId="2">'[4]05'!#REF!</definedName>
    <definedName name="VIG_PGJ" localSheetId="3">'[4]05'!#REF!</definedName>
    <definedName name="VIG_PGJ">'05'!#REF!</definedName>
    <definedName name="VIG_PGJ2" localSheetId="10">'[7]10'!#REF!</definedName>
    <definedName name="VIG_PGJ2" localSheetId="15">'[3]10'!#REF!</definedName>
    <definedName name="VIG_PGJ2" localSheetId="2">'[4]10'!#REF!</definedName>
    <definedName name="VIG_PGJ2" localSheetId="3">'[4]10'!#REF!</definedName>
    <definedName name="VIG_PGJ2">'10'!#REF!</definedName>
    <definedName name="VIG_PISO_EST" localSheetId="10">'[7]01'!#REF!</definedName>
    <definedName name="VIG_PISO_EST" localSheetId="15">'[3]01'!#REF!</definedName>
    <definedName name="VIG_PISO_EST" localSheetId="2">'[4]01'!#REF!</definedName>
    <definedName name="VIG_PISO_EST" localSheetId="3">'[4]01'!#REF!</definedName>
    <definedName name="VIG_PISO_EST">'01'!#REF!</definedName>
    <definedName name="VIG_PISO_MAG" localSheetId="10">'[7]10'!#REF!</definedName>
    <definedName name="VIG_PISO_MAG" localSheetId="15">'[3]10'!#REF!</definedName>
    <definedName name="VIG_PISO_MAG" localSheetId="2">'[4]10'!#REF!</definedName>
    <definedName name="VIG_PISO_MAG" localSheetId="3">'[4]10'!#REF!</definedName>
    <definedName name="VIG_PISO_MAG">'10'!#REF!</definedName>
    <definedName name="VIG_POLICIA" localSheetId="4">'03'!#REF!</definedName>
    <definedName name="VIG_POLICIA">#REF!</definedName>
    <definedName name="VIG_PORTO" localSheetId="10">'[7]32'!#REF!</definedName>
    <definedName name="VIG_PORTO" localSheetId="15">'[3]32'!#REF!</definedName>
    <definedName name="VIG_PORTO" localSheetId="2">'[4]32'!#REF!</definedName>
    <definedName name="VIG_PORTO" localSheetId="3">'[4]32'!#REF!</definedName>
    <definedName name="VIG_PORTO">'32'!#REF!</definedName>
    <definedName name="VIG_PROC_AL" localSheetId="10">'[7]05'!#REF!</definedName>
    <definedName name="VIG_PROC_AL" localSheetId="15">'[3]05'!#REF!</definedName>
    <definedName name="VIG_PROC_AL" localSheetId="2">'[4]05'!#REF!</definedName>
    <definedName name="VIG_PROC_AL" localSheetId="3">'[4]05'!#REF!</definedName>
    <definedName name="VIG_PROC_AL">'05'!#REF!</definedName>
    <definedName name="VIG_PROC_EST" localSheetId="10">'[7]05'!#REF!</definedName>
    <definedName name="VIG_PROC_EST" localSheetId="15">'[3]05'!#REF!</definedName>
    <definedName name="VIG_PROC_EST" localSheetId="2">'[4]05'!#REF!</definedName>
    <definedName name="VIG_PROC_EST" localSheetId="3">'[4]05'!#REF!</definedName>
    <definedName name="VIG_PROC_EST">'05'!#REF!</definedName>
    <definedName name="VIG_QUADRO_GERAL">'01'!$C$2</definedName>
    <definedName name="VIG_RISCO_FATOR" localSheetId="4">'03'!#REF!</definedName>
    <definedName name="VIG_RISCO_FATOR">#REF!</definedName>
    <definedName name="VIG_SAL_MIN" localSheetId="10">'[7]01'!#REF!</definedName>
    <definedName name="VIG_SAL_MIN" localSheetId="15">'[3]01'!#REF!</definedName>
    <definedName name="VIG_SAL_MIN" localSheetId="2">'[4]01'!#REF!</definedName>
    <definedName name="VIG_SAL_MIN" localSheetId="3">'[4]01'!#REF!</definedName>
    <definedName name="VIG_SAL_MIN">'01'!#REF!</definedName>
    <definedName name="VIG_SAL_MIN_REG" localSheetId="10">'[7]01'!#REF!</definedName>
    <definedName name="VIG_SAL_MIN_REG" localSheetId="15">'[3]01'!#REF!</definedName>
    <definedName name="VIG_SAL_MIN_REG" localSheetId="2">'[4]01'!#REF!</definedName>
    <definedName name="VIG_SAL_MIN_REG" localSheetId="3">'[4]01'!#REF!</definedName>
    <definedName name="VIG_SAL_MIN_REG">'01'!#REF!</definedName>
    <definedName name="VIG_SECRET" localSheetId="10">'[7]05'!#REF!</definedName>
    <definedName name="VIG_SECRET" localSheetId="15">'[3]05'!#REF!</definedName>
    <definedName name="VIG_SECRET" localSheetId="2">'[4]05'!#REF!</definedName>
    <definedName name="VIG_SECRET" localSheetId="3">'[4]05'!#REF!</definedName>
    <definedName name="VIG_SECRET">'05'!#REF!</definedName>
    <definedName name="VIG_SERV_ESC">'01'!$C$3</definedName>
    <definedName name="VIG_SERV_ESC_NOVA" localSheetId="10">'[7]38'!#REF!</definedName>
    <definedName name="VIG_SERV_ESC_NOVA" localSheetId="15">'[3]38'!#REF!</definedName>
    <definedName name="VIG_SERV_ESC_NOVA" localSheetId="2">'[4]38'!#REF!</definedName>
    <definedName name="VIG_SERV_ESC_NOVA" localSheetId="3">'[4]38'!#REF!</definedName>
    <definedName name="VIG_SERV_ESC_NOVA">'38'!#REF!</definedName>
    <definedName name="VIG_SUS">'01'!$C$5</definedName>
    <definedName name="VIG_SUSEPE" localSheetId="10">'16'!#REF!</definedName>
    <definedName name="VIG_SUSEPE">#REF!</definedName>
    <definedName name="VIG_TAB11" localSheetId="10">'[7]11'!#REF!</definedName>
    <definedName name="VIG_TAB11" localSheetId="15">'[3]11'!#REF!</definedName>
    <definedName name="VIG_TAB11" localSheetId="2">'[4]11'!#REF!</definedName>
    <definedName name="VIG_TAB11" localSheetId="3">'[4]11'!#REF!</definedName>
    <definedName name="VIG_TAB11">'11'!#REF!</definedName>
    <definedName name="VIG_TAB11INF" localSheetId="10">'[7]11'!#REF!</definedName>
    <definedName name="VIG_TAB11INF" localSheetId="15">'[3]11'!#REF!</definedName>
    <definedName name="VIG_TAB11INF" localSheetId="2">'[4]11'!#REF!</definedName>
    <definedName name="VIG_TAB11INF" localSheetId="3">'[4]11'!#REF!</definedName>
    <definedName name="VIG_TAB11INF">'11'!#REF!</definedName>
    <definedName name="VIG_TAB13" localSheetId="10">'[7]11'!#REF!</definedName>
    <definedName name="VIG_TAB13" localSheetId="15">'[3]11'!#REF!</definedName>
    <definedName name="VIG_TAB13" localSheetId="2">'[4]11'!#REF!</definedName>
    <definedName name="VIG_TAB13" localSheetId="3">'[4]11'!#REF!</definedName>
    <definedName name="VIG_TAB13">'11'!#REF!</definedName>
    <definedName name="VIG_TAB35" localSheetId="10">'[7]34'!#REF!</definedName>
    <definedName name="VIG_TAB35" localSheetId="15">'[3]34'!#REF!</definedName>
    <definedName name="VIG_TAB35" localSheetId="2">'[4]34'!#REF!</definedName>
    <definedName name="VIG_TAB35" localSheetId="3">'[4]34'!#REF!</definedName>
    <definedName name="VIG_TAB35">'34'!#REF!</definedName>
    <definedName name="VIG_TC" localSheetId="10">'[7]10'!#REF!</definedName>
    <definedName name="VIG_TC" localSheetId="15">'[3]10'!#REF!</definedName>
    <definedName name="VIG_TC" localSheetId="2">'[4]10'!#REF!</definedName>
    <definedName name="VIG_TC" localSheetId="3">'[4]10'!#REF!</definedName>
    <definedName name="VIG_TC">'10'!#REF!</definedName>
    <definedName name="VIG_TEC_CIENT">'01'!$C$4</definedName>
    <definedName name="VIG_TEC_PLAN" localSheetId="10">'[7]10'!#REF!</definedName>
    <definedName name="VIG_TEC_PLAN" localSheetId="15">'[3]10'!#REF!</definedName>
    <definedName name="VIG_TEC_PLAN" localSheetId="2">'[4]10'!#REF!</definedName>
    <definedName name="VIG_TEC_PLAN" localSheetId="3">'[4]10'!#REF!</definedName>
    <definedName name="VIG_TEC_PLAN">'10'!#REF!</definedName>
    <definedName name="VIG_TETO" localSheetId="15">'[3]01'!$C$10</definedName>
    <definedName name="VIG_TETO">'01'!$C$10</definedName>
    <definedName name="VIG_TJ" localSheetId="10">'[7]10'!#REF!</definedName>
    <definedName name="VIG_TJ" localSheetId="15">'[3]10'!#REF!</definedName>
    <definedName name="VIG_TJ" localSheetId="2">'[4]10'!#REF!</definedName>
    <definedName name="VIG_TJ" localSheetId="3">'[4]10'!#REF!</definedName>
    <definedName name="VIG_TJ">'10'!#REF!</definedName>
  </definedNames>
  <calcPr fullCalcOnLoad="1"/>
</workbook>
</file>

<file path=xl/sharedStrings.xml><?xml version="1.0" encoding="utf-8"?>
<sst xmlns="http://schemas.openxmlformats.org/spreadsheetml/2006/main" count="5580" uniqueCount="1742">
  <si>
    <t>Denom.</t>
  </si>
  <si>
    <t>40 h</t>
  </si>
  <si>
    <t>30 h</t>
  </si>
  <si>
    <t>20 h</t>
  </si>
  <si>
    <t>Tabela de Valores Nº 01</t>
  </si>
  <si>
    <t>Difícil Acesso (SEC)</t>
  </si>
  <si>
    <t>Adicional Noturno</t>
  </si>
  <si>
    <t>10 h</t>
  </si>
  <si>
    <t>I</t>
  </si>
  <si>
    <t>II</t>
  </si>
  <si>
    <t>III</t>
  </si>
  <si>
    <t>Jetons</t>
  </si>
  <si>
    <t>Teto</t>
  </si>
  <si>
    <t>Tabela de Valores Nº 01 - A</t>
  </si>
  <si>
    <t>Parc. Aut.</t>
  </si>
  <si>
    <t>Tabela de Valores Nº 01 - B 1</t>
  </si>
  <si>
    <t>Tabela de Valores Nº 01 - B 2</t>
  </si>
  <si>
    <t>Cl.</t>
  </si>
  <si>
    <t>Aux. Serv. Penit.</t>
  </si>
  <si>
    <t>Criminólogo</t>
  </si>
  <si>
    <t>Técnico Penit.</t>
  </si>
  <si>
    <t xml:space="preserve">S.M. ou Piso Min. 40 h </t>
  </si>
  <si>
    <t xml:space="preserve">1,5  S.M.R.  </t>
  </si>
  <si>
    <t xml:space="preserve">2,0  S.M.R.  </t>
  </si>
  <si>
    <t xml:space="preserve">2,5  S.M.R.  </t>
  </si>
  <si>
    <t xml:space="preserve">3,0  S.M.R.  </t>
  </si>
  <si>
    <t xml:space="preserve">3,5  S.M.R.  </t>
  </si>
  <si>
    <t xml:space="preserve">4,0  S.M.R.  </t>
  </si>
  <si>
    <t>Salário Mínimo de Ref.</t>
  </si>
  <si>
    <t>Tabela de Valores Nº 02</t>
  </si>
  <si>
    <t>Quadro do Pessoal Contratado</t>
  </si>
  <si>
    <t>Piso Mínimo 40 h</t>
  </si>
  <si>
    <t>Salário Mínimo</t>
  </si>
  <si>
    <t>Salário-hora</t>
  </si>
  <si>
    <t>Abono Família</t>
  </si>
  <si>
    <t>Ab. Fam. Dep. Excepc.</t>
  </si>
  <si>
    <t>Base Prev. Sal./Fam.</t>
  </si>
  <si>
    <t>Tabela de Valores Nº 02 - A</t>
  </si>
  <si>
    <t>SUS</t>
  </si>
  <si>
    <t>Tabela de Valores Nº  15</t>
  </si>
  <si>
    <t>Pd 19 - BM - Téc. Científico Cl. C 30 h</t>
  </si>
  <si>
    <t>Pd 19 - BM - Téc. Científico Cl. C 40 h</t>
  </si>
  <si>
    <t>Pd 15 - BM - Quadro Geral 40 h</t>
  </si>
  <si>
    <t>Tabela de Valores Nº 02 - B</t>
  </si>
  <si>
    <t xml:space="preserve"> Pessoal Contratado Técnico Científico - Quadro Geral</t>
  </si>
  <si>
    <t>Salário Mínimo Profissional</t>
  </si>
  <si>
    <t>CC TA e TJ 12</t>
  </si>
  <si>
    <t>A/C 10/2004, PD 83 alter. p/ CC TJ 12 (base cálculo repres. TJ)</t>
  </si>
  <si>
    <t>A/C 12/2000 a Grat. Nível Superior (40%) - PD 24 a 36 foi incorporada.</t>
  </si>
  <si>
    <t>Pd 19 - BM - Téc. Científico Cl. C 20 h</t>
  </si>
  <si>
    <t>Tabela de Valores Nº  15 - A</t>
  </si>
  <si>
    <t>Ab. Fam. Dep. Excep.</t>
  </si>
  <si>
    <t>F5</t>
  </si>
  <si>
    <t>F6</t>
  </si>
  <si>
    <t>M2</t>
  </si>
  <si>
    <t>A4</t>
  </si>
  <si>
    <t>FG I</t>
  </si>
  <si>
    <t xml:space="preserve">  30</t>
  </si>
  <si>
    <t>M3</t>
  </si>
  <si>
    <t>A5</t>
  </si>
  <si>
    <t>PD04</t>
  </si>
  <si>
    <t>SUS03</t>
  </si>
  <si>
    <t>PEPA03</t>
  </si>
  <si>
    <t>PD05</t>
  </si>
  <si>
    <t>SUS04</t>
  </si>
  <si>
    <t>PAGAF</t>
  </si>
  <si>
    <t>GPR_I</t>
  </si>
  <si>
    <t>Tabela de Valores  Nº  06 - A</t>
  </si>
  <si>
    <t>Procurador de Justiça e Proc. da Justiça Militar</t>
  </si>
  <si>
    <t>Vigência</t>
  </si>
  <si>
    <t>CONTRATO EMERGENCIAL DO MAGISTÉRIO</t>
  </si>
  <si>
    <t xml:space="preserve">         CÁLCULO DO VALOR DA HORA:</t>
  </si>
  <si>
    <t>M - 2</t>
  </si>
  <si>
    <t>HE</t>
  </si>
  <si>
    <t>M - 4</t>
  </si>
  <si>
    <t>M-2:</t>
  </si>
  <si>
    <t>( A1 + UNIDOC ) / 20  * 7 / 6</t>
  </si>
  <si>
    <t>1ª a 4ª Série</t>
  </si>
  <si>
    <t>5ª a 8ª Série</t>
  </si>
  <si>
    <t xml:space="preserve">( A1 + UNIDOC ) / 20 </t>
  </si>
  <si>
    <t>H/A</t>
  </si>
  <si>
    <t>2º Grau</t>
  </si>
  <si>
    <t>M-4:</t>
  </si>
  <si>
    <t>( A5 / 20 ) * 7 / 6</t>
  </si>
  <si>
    <t>PD13</t>
  </si>
  <si>
    <t>PD14</t>
  </si>
  <si>
    <t>B5</t>
  </si>
  <si>
    <t>B6</t>
  </si>
  <si>
    <t>BAS_TTE_C</t>
  </si>
  <si>
    <t>BAS_TTE_D</t>
  </si>
  <si>
    <t>BAS_TTE_E</t>
  </si>
  <si>
    <t>TETO</t>
  </si>
  <si>
    <t>PD34</t>
  </si>
  <si>
    <t>PD35</t>
  </si>
  <si>
    <t>PD36</t>
  </si>
  <si>
    <t>PD37</t>
  </si>
  <si>
    <t>PD62</t>
  </si>
  <si>
    <t>PD63</t>
  </si>
  <si>
    <t>PD64</t>
  </si>
  <si>
    <t>PD65</t>
  </si>
  <si>
    <t>PD66</t>
  </si>
  <si>
    <t>PD67</t>
  </si>
  <si>
    <t>PD68</t>
  </si>
  <si>
    <t>PD69</t>
  </si>
  <si>
    <t>PD70</t>
  </si>
  <si>
    <t>PD71</t>
  </si>
  <si>
    <t>PD72</t>
  </si>
  <si>
    <t>PD73</t>
  </si>
  <si>
    <t>PD74</t>
  </si>
  <si>
    <t>PD75</t>
  </si>
  <si>
    <t>PD76</t>
  </si>
  <si>
    <t>PD77</t>
  </si>
  <si>
    <t>PD78</t>
  </si>
  <si>
    <t>PD79</t>
  </si>
  <si>
    <t>PD80</t>
  </si>
  <si>
    <t>PD81</t>
  </si>
  <si>
    <t>PD82</t>
  </si>
  <si>
    <t>PD83</t>
  </si>
  <si>
    <t>PD84</t>
  </si>
  <si>
    <t>PD85</t>
  </si>
  <si>
    <t>PD86</t>
  </si>
  <si>
    <t>PD87</t>
  </si>
  <si>
    <t>PD88</t>
  </si>
  <si>
    <t>PD89</t>
  </si>
  <si>
    <t>PD90</t>
  </si>
  <si>
    <t>PD91</t>
  </si>
  <si>
    <t>PD92</t>
  </si>
  <si>
    <t>a/c de 01/09/2005</t>
  </si>
  <si>
    <t>PD93</t>
  </si>
  <si>
    <t>PD94</t>
  </si>
  <si>
    <t>PD95</t>
  </si>
  <si>
    <t>PD96</t>
  </si>
  <si>
    <t>PD97</t>
  </si>
  <si>
    <t>PD98</t>
  </si>
  <si>
    <t>PD99</t>
  </si>
  <si>
    <t>FG III</t>
  </si>
  <si>
    <t>TAB16</t>
  </si>
  <si>
    <t>TAB11</t>
  </si>
  <si>
    <t>TAB_FAZ</t>
  </si>
  <si>
    <t>BAS_AF_A</t>
  </si>
  <si>
    <t>BAS_AF_B</t>
  </si>
  <si>
    <t>BAS_AF_C</t>
  </si>
  <si>
    <t>BAS_AF_D</t>
  </si>
  <si>
    <t>BAS_AG_A</t>
  </si>
  <si>
    <t>BAS_AG_B</t>
  </si>
  <si>
    <t>BAS_AG_C</t>
  </si>
  <si>
    <t>BAS_AG_D</t>
  </si>
  <si>
    <t>BAS_TTE_A</t>
  </si>
  <si>
    <t>BAS_TTE_B</t>
  </si>
  <si>
    <t>E3</t>
  </si>
  <si>
    <t>M4</t>
  </si>
  <si>
    <t xml:space="preserve">Pd 01 </t>
  </si>
  <si>
    <t xml:space="preserve">Pd 02 </t>
  </si>
  <si>
    <t xml:space="preserve">Pd 03 </t>
  </si>
  <si>
    <t xml:space="preserve">Pd 04 </t>
  </si>
  <si>
    <t xml:space="preserve">Pd 05 </t>
  </si>
  <si>
    <t xml:space="preserve">Pd 06 </t>
  </si>
  <si>
    <t xml:space="preserve">Pd 07 </t>
  </si>
  <si>
    <t xml:space="preserve">Pd 08 </t>
  </si>
  <si>
    <t xml:space="preserve">Pd 09 </t>
  </si>
  <si>
    <t xml:space="preserve">Pd 10 </t>
  </si>
  <si>
    <t xml:space="preserve">Pd 11 </t>
  </si>
  <si>
    <t xml:space="preserve">Pd 12 </t>
  </si>
  <si>
    <t xml:space="preserve">Pd 13 </t>
  </si>
  <si>
    <t xml:space="preserve">Pd 14 </t>
  </si>
  <si>
    <t xml:space="preserve">Pd 15 </t>
  </si>
  <si>
    <t xml:space="preserve">Pd 16 </t>
  </si>
  <si>
    <t>Técnicos Científicos</t>
  </si>
  <si>
    <t xml:space="preserve">   Classe B </t>
  </si>
  <si>
    <t xml:space="preserve">   Classe C </t>
  </si>
  <si>
    <t xml:space="preserve">   Classe D </t>
  </si>
  <si>
    <t xml:space="preserve">   Classe A </t>
  </si>
  <si>
    <t>Pd  01</t>
  </si>
  <si>
    <t>Pd  17</t>
  </si>
  <si>
    <t>Pd  02</t>
  </si>
  <si>
    <t>Pd  03</t>
  </si>
  <si>
    <t>Pd  04</t>
  </si>
  <si>
    <t>Pd  05</t>
  </si>
  <si>
    <t>Pd  06</t>
  </si>
  <si>
    <t>Pd  07</t>
  </si>
  <si>
    <t>Pd  08</t>
  </si>
  <si>
    <t>Pd  09</t>
  </si>
  <si>
    <t>Pd  10</t>
  </si>
  <si>
    <t>Pd  11</t>
  </si>
  <si>
    <t>Pd  12</t>
  </si>
  <si>
    <t>Pd  13</t>
  </si>
  <si>
    <t>FG, CC, AS e Representação - Secretaria da Fazenda</t>
  </si>
  <si>
    <t>Repres. %</t>
  </si>
  <si>
    <t>FG</t>
  </si>
  <si>
    <t>CC</t>
  </si>
  <si>
    <t>Total</t>
  </si>
  <si>
    <t>A S</t>
  </si>
  <si>
    <t>Representação 35%</t>
  </si>
  <si>
    <t xml:space="preserve">Tabela de Valores  Nº 16 </t>
  </si>
  <si>
    <t>SUSEPE - Quadro Penitenciária</t>
  </si>
  <si>
    <t>Quadro dos Institutos - Criminalística, Médico Legal e de Identificação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</si>
  <si>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</si>
  <si>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</si>
  <si>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</si>
  <si>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</si>
  <si>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</si>
  <si>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</si>
  <si>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</si>
  <si>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</si>
  <si>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</si>
  <si>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</si>
  <si>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</si>
  <si>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</si>
  <si>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 Nível 02 Fundamental</t>
  </si>
  <si>
    <t xml:space="preserve"> Nível 03 Fundamental</t>
  </si>
  <si>
    <t>M5</t>
  </si>
  <si>
    <t xml:space="preserve"> Nível 04 Fundamental</t>
  </si>
  <si>
    <t xml:space="preserve"> Nível 05 Fundamental</t>
  </si>
  <si>
    <t xml:space="preserve"> Nível 06 Fundamental</t>
  </si>
  <si>
    <t xml:space="preserve"> Nível 07 Fundamental</t>
  </si>
  <si>
    <t xml:space="preserve"> Nível 08 Fundamental</t>
  </si>
  <si>
    <t xml:space="preserve"> Nível Superior 20 h</t>
  </si>
  <si>
    <t xml:space="preserve"> Nível Superior 30 h</t>
  </si>
  <si>
    <t xml:space="preserve"> Nível Superior 40 h</t>
  </si>
  <si>
    <t xml:space="preserve"> Nível 01 Fundamental</t>
  </si>
  <si>
    <t>Tabela de Valores Nº 32</t>
  </si>
  <si>
    <t>Pessoal do Porto de Rio Grande</t>
  </si>
  <si>
    <t>Tabela de Valores Nº 33</t>
  </si>
  <si>
    <t>CC Em Extinção</t>
  </si>
  <si>
    <t>Tabela de Valores Nº 12</t>
  </si>
  <si>
    <t>E6</t>
  </si>
  <si>
    <t xml:space="preserve">  40</t>
  </si>
  <si>
    <t>Denominação</t>
  </si>
  <si>
    <t>Tabela de Valores Nº 03</t>
  </si>
  <si>
    <t>Pd 02 CCEX</t>
  </si>
  <si>
    <t>Pd 03 CCEX</t>
  </si>
  <si>
    <t>Pd 04 CCEX</t>
  </si>
  <si>
    <t>Pd 05 CCEX</t>
  </si>
  <si>
    <t>Pd 06 CCEX</t>
  </si>
  <si>
    <t>Pd 07 CCEX</t>
  </si>
  <si>
    <t>Pd 08 CCEX</t>
  </si>
  <si>
    <t>Pd 09 CCEX</t>
  </si>
  <si>
    <t>Pd 10 CCEX</t>
  </si>
  <si>
    <t>Pd 11 CCEX</t>
  </si>
  <si>
    <t>Pd 12 CCEX</t>
  </si>
  <si>
    <t>Pd 13 CCEX</t>
  </si>
  <si>
    <t>Pd 14 CCEX</t>
  </si>
  <si>
    <t>Pd 15 CCEX</t>
  </si>
  <si>
    <t>Pd 16 CCEX</t>
  </si>
  <si>
    <t>Pd 17 CCEX</t>
  </si>
  <si>
    <t>Pd 18 CCEX</t>
  </si>
  <si>
    <t>Pd 19 CCEX</t>
  </si>
  <si>
    <t>Pd 20 CCEX</t>
  </si>
  <si>
    <t>Pd 21 CCEX</t>
  </si>
  <si>
    <t>Pd 22 CCEX</t>
  </si>
  <si>
    <t>Pd 01 CCEX</t>
  </si>
  <si>
    <t>Servidores Policiais e Brigada Militar</t>
  </si>
  <si>
    <t xml:space="preserve"> A/C</t>
  </si>
  <si>
    <t>Comissário de Polícia</t>
  </si>
  <si>
    <t xml:space="preserve">BM - 3º  Sargento   </t>
  </si>
  <si>
    <t>BM - 2º  Sargento</t>
  </si>
  <si>
    <t>BM - 1º  Sargento</t>
  </si>
  <si>
    <t>BM - Aspirante / Sub-Tenente</t>
  </si>
  <si>
    <t>BM - 2º Tenente</t>
  </si>
  <si>
    <t>BM - 1º Tenente</t>
  </si>
  <si>
    <t>BM - Capitão PM</t>
  </si>
  <si>
    <t>BM - Major PM</t>
  </si>
  <si>
    <t>BM - Tenente Coronel PM</t>
  </si>
  <si>
    <t>BM - Coronel PM</t>
  </si>
  <si>
    <t>CVMI</t>
  </si>
  <si>
    <t>GVFOR</t>
  </si>
  <si>
    <t>Fator Val. %</t>
  </si>
  <si>
    <t>GIAP %</t>
  </si>
  <si>
    <t>FG TA e TJ 10</t>
  </si>
  <si>
    <t>FG TA e TJ 11</t>
  </si>
  <si>
    <t>TAB32</t>
  </si>
  <si>
    <t>PD40</t>
  </si>
  <si>
    <t>PD41</t>
  </si>
  <si>
    <t>PD42</t>
  </si>
  <si>
    <t>DPP / BDP</t>
  </si>
  <si>
    <t xml:space="preserve">   DPP / BDP  </t>
  </si>
  <si>
    <t xml:space="preserve">    DPP / BDP  </t>
  </si>
  <si>
    <t/>
  </si>
  <si>
    <t xml:space="preserve">            SUS</t>
  </si>
  <si>
    <t xml:space="preserve">          P.E.P.A.</t>
  </si>
  <si>
    <t>TAB02</t>
  </si>
  <si>
    <t>PD01</t>
  </si>
  <si>
    <t>TAB01</t>
  </si>
  <si>
    <t>TAB_SUS</t>
  </si>
  <si>
    <t>TAB_PEPA</t>
  </si>
  <si>
    <t>PD02</t>
  </si>
  <si>
    <t xml:space="preserve">         P.E.P.A.</t>
  </si>
  <si>
    <t>SUS01</t>
  </si>
  <si>
    <t>PEPA01</t>
  </si>
  <si>
    <t>PD03</t>
  </si>
  <si>
    <t>SUS02</t>
  </si>
  <si>
    <t>PEPA02</t>
  </si>
  <si>
    <t>F1</t>
  </si>
  <si>
    <t>F2</t>
  </si>
  <si>
    <t>A1</t>
  </si>
  <si>
    <t>TAB07</t>
  </si>
  <si>
    <t>A2</t>
  </si>
  <si>
    <t>A6</t>
  </si>
  <si>
    <t xml:space="preserve">  35</t>
  </si>
  <si>
    <t>B1</t>
  </si>
  <si>
    <t>Soldado PM Temp. Cursando</t>
  </si>
  <si>
    <t>Soldado PM Temp. 1º Ano</t>
  </si>
  <si>
    <t>Soldado PM Temp. 2º Ano</t>
  </si>
  <si>
    <t>Aluno-oficial</t>
  </si>
  <si>
    <t xml:space="preserve"> Padrões 45, 46, 47 e 48 incluídos em Setembro/2004.</t>
  </si>
  <si>
    <t>( A5 / 20 )</t>
  </si>
  <si>
    <t>TABELA 07:    PADRÃO   11  AO  50  -  M-2</t>
  </si>
  <si>
    <t>TABELA 18:    PADRÃO   01  AO  40  -  M-2</t>
  </si>
  <si>
    <t xml:space="preserve">      PADRÃO   51  AO  90  -  M-4</t>
  </si>
  <si>
    <t xml:space="preserve">       PADRÃO  41  AO  80  -  M-4</t>
  </si>
  <si>
    <t>TAB17</t>
  </si>
  <si>
    <t>TAB10</t>
  </si>
  <si>
    <t>TAB12</t>
  </si>
  <si>
    <t>F4</t>
  </si>
  <si>
    <t xml:space="preserve">DPP / BDP    </t>
  </si>
  <si>
    <t>Exatoria F</t>
  </si>
  <si>
    <t>Classificador Fiscal</t>
  </si>
  <si>
    <t>Exatoria E</t>
  </si>
  <si>
    <t>Exatoria G</t>
  </si>
  <si>
    <t>Exatoria M</t>
  </si>
  <si>
    <t>Doméstica Estável</t>
  </si>
  <si>
    <t>Classificador Fiscal CLT com Diárias</t>
  </si>
  <si>
    <t>Téc. Econ. Finanças (Agente Fiscal  B)</t>
  </si>
  <si>
    <t>Auxiliar de Classificador com Diárias</t>
  </si>
  <si>
    <t>Auxiliar de Classificador Fiscal</t>
  </si>
  <si>
    <t>Chefe de Posto Fiscal com Diárias</t>
  </si>
  <si>
    <t>Auxiliar de Serviços Complementares (40 h)</t>
  </si>
  <si>
    <t>Auxiliar de Serviços Complementares (30 h)</t>
  </si>
  <si>
    <t>Auxiliar de Serviços Complementares (20 h)</t>
  </si>
  <si>
    <t>Auxiliar de Serviços Complementares (10 h)</t>
  </si>
  <si>
    <t>Téc. Ass. Aval. e Trib. (Agente Fiscal  B) ou Sal. Profissional</t>
  </si>
  <si>
    <t>Tabela de Valores  Nº 13</t>
  </si>
  <si>
    <t>Auditor de Finanças Públicas A</t>
  </si>
  <si>
    <t>Auditor de Finanças Públicas B</t>
  </si>
  <si>
    <t>Auditor de Finanças Públicas C</t>
  </si>
  <si>
    <t>Auditor de Finanças Públicas D</t>
  </si>
  <si>
    <t>Fiscal de Tributos Estaduais A</t>
  </si>
  <si>
    <t>Fiscal de Tributos Estaduais B</t>
  </si>
  <si>
    <t>Fiscal de Tributos Estaduais C</t>
  </si>
  <si>
    <t>Fiscal de Tributos Estaduais D</t>
  </si>
  <si>
    <t>Inspetor  S</t>
  </si>
  <si>
    <t>Técnico do Tesouro do Estado  A</t>
  </si>
  <si>
    <t>Técnico do Tesouro do Estado  B</t>
  </si>
  <si>
    <t>Técnico do Tesouro do Estado  C</t>
  </si>
  <si>
    <t>Técnico do Tesouro do Estado  D</t>
  </si>
  <si>
    <t>Técnico do Tesouro do Estado  E</t>
  </si>
  <si>
    <t>% Risco</t>
  </si>
  <si>
    <t>Perito A</t>
  </si>
  <si>
    <t>Perito B</t>
  </si>
  <si>
    <t xml:space="preserve">Perito C </t>
  </si>
  <si>
    <t>Perito D</t>
  </si>
  <si>
    <t>Papil., Fot. Crim. A</t>
  </si>
  <si>
    <t>Papil., Fot. Crim. B</t>
  </si>
  <si>
    <t>Papil., Fot. Crim. C</t>
  </si>
  <si>
    <t>Papil., Fot. Crim. D</t>
  </si>
  <si>
    <t>Aux. de Perícia A</t>
  </si>
  <si>
    <t xml:space="preserve">Aux. de Perícia C </t>
  </si>
  <si>
    <t>Classe C - PGE</t>
  </si>
  <si>
    <t>Classe R - PGE</t>
  </si>
  <si>
    <t>Classe A Nível I (TC)</t>
  </si>
  <si>
    <t>Classe A Nível III (TC) 40 h</t>
  </si>
  <si>
    <t>Procurador da CEE Cl. Superior (em extinção)</t>
  </si>
  <si>
    <t>Contratados do Tribunal de Contas e PGE</t>
  </si>
  <si>
    <t>A Gratif. de Repres. dos Padrões 44 a 47 foi incorporado ao básico</t>
  </si>
  <si>
    <t>Base Previdência</t>
  </si>
  <si>
    <t>Remuneração por Aula Dada - Lei 11.515/2000</t>
  </si>
  <si>
    <t>A Grat. de Dedicação Exclusiva foi incorporada ao básico</t>
  </si>
  <si>
    <t xml:space="preserve"> Pessoal Contratado Téc. Cient.- Quadro Geral</t>
  </si>
  <si>
    <t>A/c Dezembro/2000 (Lei 11547/2000):</t>
  </si>
  <si>
    <t>A GPG (10%) foi incorporada ao básico</t>
  </si>
  <si>
    <t>A/c de Dezembro/2000, a Parcela Autônoma (PD 01 a 08 e 13 a 20) foi incorporada ao básico.</t>
  </si>
  <si>
    <t>Técnico em Process. Prelim. de Dados (TTE A)</t>
  </si>
  <si>
    <t>Auxiliar de Posto Fiscal (TTE A)</t>
  </si>
  <si>
    <t>Auxiliar de Posto Fiscal com Diárias (TTE A)</t>
  </si>
  <si>
    <t>Auxiliar de Posto Fiscal CLT (TTE A)</t>
  </si>
  <si>
    <t>Motorista (TTE A)</t>
  </si>
  <si>
    <t>Operador de Máquina Contábil (TTE D)</t>
  </si>
  <si>
    <t>TTE A - Administrativo</t>
  </si>
  <si>
    <t>TTE D - Administrativo</t>
  </si>
  <si>
    <t>GPR</t>
  </si>
  <si>
    <t>GPRIPPA</t>
  </si>
  <si>
    <t>GPRI</t>
  </si>
  <si>
    <t>Agente Fiscal B</t>
  </si>
  <si>
    <t>A/c Dezembro/2000:</t>
  </si>
  <si>
    <t xml:space="preserve"> a Parc. Aut. (PD 18 a 40 e 46 a 48) foi incorporada ao básico</t>
  </si>
  <si>
    <t>BM - Cabo</t>
  </si>
  <si>
    <t>Salva-vidas Civil Temporário</t>
  </si>
  <si>
    <t>a GPG (10%)  foi incorporada ao básico.</t>
  </si>
  <si>
    <t>CC DEFENS 01</t>
  </si>
  <si>
    <t>FG DEFENS 01</t>
  </si>
  <si>
    <t>CC DEFENS 02</t>
  </si>
  <si>
    <t>FG DEFENS 02</t>
  </si>
  <si>
    <t>CC DEFENS 03</t>
  </si>
  <si>
    <t>FG DEFENS 03</t>
  </si>
  <si>
    <t>CC DEFENS 04</t>
  </si>
  <si>
    <t>FG DEFENS 04</t>
  </si>
  <si>
    <t>CC DEFENS 05</t>
  </si>
  <si>
    <t>FG DEFENS 05</t>
  </si>
  <si>
    <t>CC DEFENS 06</t>
  </si>
  <si>
    <t>FG DEFENS 06</t>
  </si>
  <si>
    <t>CC DEFENS 07</t>
  </si>
  <si>
    <t>FG DEFENS 07</t>
  </si>
  <si>
    <t>CC DEFENS 08</t>
  </si>
  <si>
    <t>FG DEFENS 08</t>
  </si>
  <si>
    <t>CC DEFENS 09</t>
  </si>
  <si>
    <t>FG DEFENS 09</t>
  </si>
  <si>
    <t>CC DEFENS 10</t>
  </si>
  <si>
    <t>FG DEFENS 10</t>
  </si>
  <si>
    <t>CC DEFENS 11</t>
  </si>
  <si>
    <t>FG DEFENS 11</t>
  </si>
  <si>
    <t>CC DEFENS 12</t>
  </si>
  <si>
    <t>FG DEFENS 12</t>
  </si>
  <si>
    <t xml:space="preserve"> Tabela de Valores Nº 14 - D</t>
  </si>
  <si>
    <t>CC e FG Defensoria</t>
  </si>
  <si>
    <t>Ensino Fundamental - Nível 1</t>
  </si>
  <si>
    <t>Ensino Médio - Nível 2</t>
  </si>
  <si>
    <t>Ensino Superiorl - Nível 3</t>
  </si>
  <si>
    <t>1 - Ensino Fundamental</t>
  </si>
  <si>
    <t>2 - Ensino Médio</t>
  </si>
  <si>
    <t xml:space="preserve"> Turmas Volantes (10,82% TTE E)</t>
  </si>
  <si>
    <t>Administrativos (18,92% TTE E)</t>
  </si>
  <si>
    <t>A/C 07/99 CC's PGJ acrescidas de 40% cfe.Lei 11331/99.</t>
  </si>
  <si>
    <t>A/C 01/98, PD 40-51 e 64-67 reclass. cfe. Resol. 2718/97.</t>
  </si>
  <si>
    <t>A/C 01/98, PD 52-63 e 94-97 reclass. cfe. Lei 11097/98.</t>
  </si>
  <si>
    <t>A/C Dez/2000, a Grat. Nível Superior (PD 32 a 34) foi incorporada ao básico.</t>
  </si>
  <si>
    <t>Padrão 05: valores válidos a/c 23/01/1998</t>
  </si>
  <si>
    <t>A/C Dez/2000 a Parc. Aut. (PD 52 a 59, 64 a 71 e 76 a 83 foi incorporada.</t>
  </si>
  <si>
    <t>Padrões 36 a 47 e 76 a 87 foram acrescidos de 40% a/c de Novembro/1990.</t>
  </si>
  <si>
    <t>A/C Dez/2000, a Grat. de Nível Superior (PD 86 - 40%) foi incorporada ao básico</t>
  </si>
  <si>
    <t>CC I</t>
  </si>
  <si>
    <t>CC II</t>
  </si>
  <si>
    <t>A GAF dos Técnicos do Tesouro foi incorporada ao básico</t>
  </si>
  <si>
    <t>Técnico Científico DAE - Classe A</t>
  </si>
  <si>
    <t>Técnico Científico DAE - Classe B</t>
  </si>
  <si>
    <t>Técnico Científico DAE - Classe C</t>
  </si>
  <si>
    <t>Técnico Científico DAE - Classe D</t>
  </si>
  <si>
    <t>Técnicos em Planejamento e DAE</t>
  </si>
  <si>
    <t>Tribunal  de Contas,</t>
  </si>
  <si>
    <t>Até Março/2001 estavam cadastrados na Tabela 01 - Técnicos Científicos</t>
  </si>
  <si>
    <t>R. Vida %</t>
  </si>
  <si>
    <t>Base Previdência 2</t>
  </si>
  <si>
    <t>Servidores de Escola</t>
  </si>
  <si>
    <t>Tabela de Valores Nº 19</t>
  </si>
  <si>
    <t>Quadro dos Servidores de Escola</t>
  </si>
  <si>
    <t>TAB19</t>
  </si>
  <si>
    <t>Tabela de Valores Nº 34</t>
  </si>
  <si>
    <t>Auxiliar de Serviço 1</t>
  </si>
  <si>
    <t>Auxiliar de Serviço 2</t>
  </si>
  <si>
    <t>Auxiliar de Serviço 3</t>
  </si>
  <si>
    <t>Auxiliar de Serviço 4</t>
  </si>
  <si>
    <t>Auxiliar de Serviço 5</t>
  </si>
  <si>
    <t>Auxiliar de Serviço 6</t>
  </si>
  <si>
    <t>Auxiliar de Serviço 7</t>
  </si>
  <si>
    <t>Auxiliar de Serviço 8</t>
  </si>
  <si>
    <t>Auxiliar de Serviço 9</t>
  </si>
  <si>
    <t>Auxiliar de Serviço 10</t>
  </si>
  <si>
    <t>Auxiliar de Serviço 11</t>
  </si>
  <si>
    <t>Auxiliar de Serviço 12</t>
  </si>
  <si>
    <t xml:space="preserve">CC PGE 01 </t>
  </si>
  <si>
    <t xml:space="preserve">CC PGE 02 </t>
  </si>
  <si>
    <t>CC PGE 03</t>
  </si>
  <si>
    <t xml:space="preserve">CC PGE 04 </t>
  </si>
  <si>
    <t>CC PGE 05</t>
  </si>
  <si>
    <t>CC PGE 06</t>
  </si>
  <si>
    <t>CC PGE 08</t>
  </si>
  <si>
    <t>CC PGE 09</t>
  </si>
  <si>
    <t>CC PGE 10</t>
  </si>
  <si>
    <t>CC PGE 11</t>
  </si>
  <si>
    <t>FG PGE 03</t>
  </si>
  <si>
    <t>FG PGE 05</t>
  </si>
  <si>
    <t>FG PGE 06</t>
  </si>
  <si>
    <t>FG PGE 08</t>
  </si>
  <si>
    <t>FG PGE 09</t>
  </si>
  <si>
    <t>FG PGE 10</t>
  </si>
  <si>
    <t>FG PGE 11</t>
  </si>
  <si>
    <t>Escriturário 1</t>
  </si>
  <si>
    <t>Escriturário 2</t>
  </si>
  <si>
    <t>Escriturário 3</t>
  </si>
  <si>
    <t>Escriturário 4</t>
  </si>
  <si>
    <t>Escriturário 5</t>
  </si>
  <si>
    <t>Escriturário 6</t>
  </si>
  <si>
    <t>Escriturário 7</t>
  </si>
  <si>
    <t>Escriturário 8</t>
  </si>
  <si>
    <t>PAUT_MAG</t>
  </si>
  <si>
    <t>PARC_AUT</t>
  </si>
  <si>
    <t>PISO</t>
  </si>
  <si>
    <t>Tabela PAUT_MAG</t>
  </si>
  <si>
    <t>Piso Magist. 40 h</t>
  </si>
  <si>
    <t>Escriturário 9</t>
  </si>
  <si>
    <t>Escriturário 10</t>
  </si>
  <si>
    <t>Escriturário 11</t>
  </si>
  <si>
    <t>Escriturário 12</t>
  </si>
  <si>
    <t>Escriturário 13</t>
  </si>
  <si>
    <t>Escriturário 14</t>
  </si>
  <si>
    <t>Escriturário 15</t>
  </si>
  <si>
    <t>Escriturário 16</t>
  </si>
  <si>
    <t>Escriturário 17</t>
  </si>
  <si>
    <t>Escriturário 18</t>
  </si>
  <si>
    <t>Operador Administrativo 5</t>
  </si>
  <si>
    <t>Operador Administrativo 6</t>
  </si>
  <si>
    <t>Operador Administrativo 7</t>
  </si>
  <si>
    <t>TAB37</t>
  </si>
  <si>
    <t>Operador Administrativo 8</t>
  </si>
  <si>
    <t>Operador Administrativo 9</t>
  </si>
  <si>
    <t>Operador Administrativo 10</t>
  </si>
  <si>
    <t>Operador Administrativo 1</t>
  </si>
  <si>
    <t>Operador Administrativo 2</t>
  </si>
  <si>
    <t>Operador Administrativo 3</t>
  </si>
  <si>
    <t>Operador Administrativo 4</t>
  </si>
  <si>
    <t>Consultor A</t>
  </si>
  <si>
    <t>Consultor B</t>
  </si>
  <si>
    <t>Consultor C</t>
  </si>
  <si>
    <t>Consultor D</t>
  </si>
  <si>
    <t>Tabela de Valores Nº 35</t>
  </si>
  <si>
    <t>Diretor Administrativo</t>
  </si>
  <si>
    <t>Assessor de Nível Superior</t>
  </si>
  <si>
    <t>Assistente de Nível Médio</t>
  </si>
  <si>
    <t>Gerente</t>
  </si>
  <si>
    <t>Sub-chefe Marcenaria</t>
  </si>
  <si>
    <t>Assist. Oper. / Processam. 554/555</t>
  </si>
  <si>
    <t>Assist. Oper. Aux. / Motorista 556/557</t>
  </si>
  <si>
    <t>Anexo III (FG-8 ou GE-8)</t>
  </si>
  <si>
    <t>xxxxxxxxxxxxxxxxxxxxxxxxx</t>
  </si>
  <si>
    <t>GOI - 16,67% para todos os Padrões</t>
  </si>
  <si>
    <t>A/C 07/99, FG's PGJ acrescidas de 40%. Cfe. Lei 11331/99.</t>
  </si>
  <si>
    <t>A/C 01/98, PD 72 a 83 reclassificados cfe.Lei 11097/98.</t>
  </si>
  <si>
    <t>A/C 01/98, PD 37 a 50 reclassificados cfe. Resol 2718/97.</t>
  </si>
  <si>
    <t>FG - CEE</t>
  </si>
  <si>
    <t>A/C 12/00 - Grat. Nível Sup. (40%) - PD 25 a 36 incorpor.</t>
  </si>
  <si>
    <t>A/c Setembro/2003:</t>
  </si>
  <si>
    <t>Foi eliminado o redutor do venc. básico dos TTE</t>
  </si>
  <si>
    <t xml:space="preserve"> Turmas Volantes </t>
  </si>
  <si>
    <t xml:space="preserve">Administrativos </t>
  </si>
  <si>
    <t>A/C 08/01 - PD 85, 86, 90 a 99 alterados para FG's CEE</t>
  </si>
  <si>
    <t>Tabela de Valores Nº 37</t>
  </si>
  <si>
    <t>Magistério - Plano de Carreira (Judicial)</t>
  </si>
  <si>
    <t>Obs.: a tabela 37 foi implantada no BDP na folha de Outubro/2001</t>
  </si>
  <si>
    <t>Tabela de Valores Nº 17 - Anexo</t>
  </si>
  <si>
    <t>Magistério - Piso</t>
  </si>
  <si>
    <t>Carga Horária</t>
  </si>
  <si>
    <t>Padrão 04 equiparado ao Padrão 05 a/c 18/01/2002</t>
  </si>
  <si>
    <t>Quadro Geral - SUS</t>
  </si>
  <si>
    <t>Quadro Geral - PEPA</t>
  </si>
  <si>
    <t>Técnicos Científicos - PEPA</t>
  </si>
  <si>
    <t>Quadro Geral e Técnicos Científicos</t>
  </si>
  <si>
    <t xml:space="preserve">          PEPA</t>
  </si>
  <si>
    <t>PEPA</t>
  </si>
  <si>
    <t>A/c 07/1997</t>
  </si>
  <si>
    <t>A/c 11/1999</t>
  </si>
  <si>
    <t>A/c 05/2000</t>
  </si>
  <si>
    <t>A/c 12/2000</t>
  </si>
  <si>
    <t>A/c 04/2002</t>
  </si>
  <si>
    <t>Parc. Aut. PD 31 a 34</t>
  </si>
  <si>
    <t>Parc. Aut. PD 44 a 47</t>
  </si>
  <si>
    <t>A/c 23/01/1998</t>
  </si>
  <si>
    <t>Incluídos PD 01 a 19</t>
  </si>
  <si>
    <t>Incluídos PD 31 a 34</t>
  </si>
  <si>
    <t>Grat. Dedicação Exclusiva do DAE (PD 31 a 34) foi incorporada ao básico</t>
  </si>
  <si>
    <t>A/c 04/2001</t>
  </si>
  <si>
    <t>A/c 03/2002</t>
  </si>
  <si>
    <t>Parc. Aut. incluída na GIPT ou no Risco de Vida a/c 01/03/1998.</t>
  </si>
  <si>
    <t>TAB34</t>
  </si>
  <si>
    <t>M-5 (Catedrático)</t>
  </si>
  <si>
    <t>Agente Fiscal do Tesouro do Estado A</t>
  </si>
  <si>
    <t>Agente Fiscal do Tesouro do Estado B</t>
  </si>
  <si>
    <t>Agente Fiscal do Tesouro do Estado C</t>
  </si>
  <si>
    <t>Agente Fiscal do Tesouro do Estado D</t>
  </si>
  <si>
    <t>Redutor do Básico dos TTE, conforme lotação:</t>
  </si>
  <si>
    <t>A/c Dezembro/2002:</t>
  </si>
  <si>
    <t>Auditor de Finanças Públicas E</t>
  </si>
  <si>
    <t>Fiscal de Tributos Estaduais E</t>
  </si>
  <si>
    <t>Agente Fiscal do Tesouro do Estado E</t>
  </si>
  <si>
    <t>- GPR 5% foi incorporada ao básico</t>
  </si>
  <si>
    <t>- Alterados multiplicadores dos Padrões B, C e D dos Auditores, Fiscais e Agentes Fiscais</t>
  </si>
  <si>
    <t>- Criados Padrões 36, 37 e 38</t>
  </si>
  <si>
    <t>BAS_AF_E</t>
  </si>
  <si>
    <t>BAS_AG_E</t>
  </si>
  <si>
    <t>PD 44 30 h</t>
  </si>
  <si>
    <t xml:space="preserve">Lei 11.662: a partir de Jul/2003 retomam os fatores originais dos </t>
  </si>
  <si>
    <t>níveis do Plano de Carreira do Magistério, sobre o nível 01.</t>
  </si>
  <si>
    <t>GIPT dos Padrões 60 a 95 incorporada ao básico a/c Julho/2003</t>
  </si>
  <si>
    <t>Tabela de Valores Nº 38</t>
  </si>
  <si>
    <t>Quadro dos Servidores de Escola - Lei 11.940/2003</t>
  </si>
  <si>
    <t>Grau</t>
  </si>
  <si>
    <t>TAB38</t>
  </si>
  <si>
    <t>Agente Educacional IV - Monitor de Escola</t>
  </si>
  <si>
    <t>(em extinção)</t>
  </si>
  <si>
    <t>F</t>
  </si>
  <si>
    <t>Agente Educacional III - Aux.em Administração</t>
  </si>
  <si>
    <t>Adic. Noturno</t>
  </si>
  <si>
    <t>Agente Educacional I - Manut. de Infra-estrutura</t>
  </si>
  <si>
    <t>Agente Educacional I - Alimentação</t>
  </si>
  <si>
    <t>A Tabela 38 foi incluída no BDP a/c de Julho/2003. A vigência a/c de Janeiro/2003 é válida apenas para cálculos de pagamentos retroativos de servidores do antigo Quadro de Servidores de Escola (Tabela 19), transferidos para a Tabela 38.</t>
  </si>
  <si>
    <t>Agente Educacional I</t>
  </si>
  <si>
    <t>Agente Educacional II</t>
  </si>
  <si>
    <t>Cargos do Quadro de Servidores de Escola</t>
  </si>
  <si>
    <t>Nível Inicial</t>
  </si>
  <si>
    <t>Agente Educacional I - Manutenção de Infra-estrutura</t>
  </si>
  <si>
    <t>Agente Educacional II - Administração Escolar</t>
  </si>
  <si>
    <t>Agente Educacional II - Interação com o Educando</t>
  </si>
  <si>
    <t>Agente Educacional III - Aux. em Administração (em extinção)</t>
  </si>
  <si>
    <t>Agente Educacional IV - Monitor de Escola (em extinção)</t>
  </si>
  <si>
    <t>Aux. de Perícia D</t>
  </si>
  <si>
    <t>Aux. de Perícia B</t>
  </si>
  <si>
    <t>Pd.</t>
  </si>
  <si>
    <t xml:space="preserve">A/C </t>
  </si>
  <si>
    <t>Tabela de Valores Nº 28</t>
  </si>
  <si>
    <t>Nível   I Classe A</t>
  </si>
  <si>
    <t>Nível   I Classe B</t>
  </si>
  <si>
    <t>Nível   I Classe C</t>
  </si>
  <si>
    <t>Nível   I Classe D</t>
  </si>
  <si>
    <t>Nível  II Classe A</t>
  </si>
  <si>
    <t>Nível  II Classe B</t>
  </si>
  <si>
    <t>Nível  II Classe C</t>
  </si>
  <si>
    <t>Nível  II Classe D</t>
  </si>
  <si>
    <t>Nível  II Classe E</t>
  </si>
  <si>
    <t>Nível III Classe A</t>
  </si>
  <si>
    <t>Nível III Classe B</t>
  </si>
  <si>
    <t>Nível III Classe C</t>
  </si>
  <si>
    <t>Nível III Classe D</t>
  </si>
  <si>
    <t>Assembléia Legislativa</t>
  </si>
  <si>
    <t>A contar de Março/97 a GAP e a GIPL foram incorporadas ao básico.</t>
  </si>
  <si>
    <t>Pessoal Contratado da Assembléia Legislativa</t>
  </si>
  <si>
    <t>Tabela de Valores Nº 29</t>
  </si>
  <si>
    <t>TAB05</t>
  </si>
  <si>
    <t>TAB06</t>
  </si>
  <si>
    <t>TAB06AN</t>
  </si>
  <si>
    <t>TAB20</t>
  </si>
  <si>
    <t>TAB21</t>
  </si>
  <si>
    <t>TAB22</t>
  </si>
  <si>
    <t>AS  01</t>
  </si>
  <si>
    <t>AS  02</t>
  </si>
  <si>
    <t xml:space="preserve">AS  03 </t>
  </si>
  <si>
    <t>AS  04</t>
  </si>
  <si>
    <t>AS  05</t>
  </si>
  <si>
    <t>AS  06</t>
  </si>
  <si>
    <t>Quadro de CC da Caixa Econômica Estadual</t>
  </si>
  <si>
    <t>Operador Adm com URV Judicial</t>
  </si>
  <si>
    <t>Departamento da Despesa Pública</t>
  </si>
  <si>
    <t>Divisão do Pagamento de Pessoal</t>
  </si>
  <si>
    <t>Tabela de Valores Nº  07</t>
  </si>
  <si>
    <t>Tabela de Valores Nº  18</t>
  </si>
  <si>
    <t>Cadastro de Contratações Temporárias - CCT</t>
  </si>
  <si>
    <t>02 h</t>
  </si>
  <si>
    <t>13 h</t>
  </si>
  <si>
    <t>03 h</t>
  </si>
  <si>
    <t>04 h</t>
  </si>
  <si>
    <t>05 h</t>
  </si>
  <si>
    <t>06 h</t>
  </si>
  <si>
    <t>07 h</t>
  </si>
  <si>
    <t>08 h</t>
  </si>
  <si>
    <t>09 h</t>
  </si>
  <si>
    <t>11 h</t>
  </si>
  <si>
    <t>12 h</t>
  </si>
  <si>
    <t>14 h</t>
  </si>
  <si>
    <t>15 h</t>
  </si>
  <si>
    <t>16 h</t>
  </si>
  <si>
    <t>17 h</t>
  </si>
  <si>
    <t>18 h</t>
  </si>
  <si>
    <t>19 h</t>
  </si>
  <si>
    <t>21 h</t>
  </si>
  <si>
    <t>22 h</t>
  </si>
  <si>
    <t>23 h</t>
  </si>
  <si>
    <t>24 h</t>
  </si>
  <si>
    <t>25 h</t>
  </si>
  <si>
    <t>26 h</t>
  </si>
  <si>
    <t>27 h</t>
  </si>
  <si>
    <t>28 h</t>
  </si>
  <si>
    <t>29 h</t>
  </si>
  <si>
    <t>31 h</t>
  </si>
  <si>
    <t>32 h</t>
  </si>
  <si>
    <t>33 h</t>
  </si>
  <si>
    <t>34 h</t>
  </si>
  <si>
    <t>35 h</t>
  </si>
  <si>
    <t>36 h</t>
  </si>
  <si>
    <t>37 h</t>
  </si>
  <si>
    <t>38 h</t>
  </si>
  <si>
    <t>39 h</t>
  </si>
  <si>
    <t>01 h</t>
  </si>
  <si>
    <t>Anexo III (FG-1 ou GE-1)</t>
  </si>
  <si>
    <t>Anexo III (FG-2 ou GE-2)</t>
  </si>
  <si>
    <t>Anexo III (FG-3 ou GE-3)</t>
  </si>
  <si>
    <t>Anexo III (FG-4 ou GE-4)</t>
  </si>
  <si>
    <t>Anexo III (FG-5 ou GE-5)</t>
  </si>
  <si>
    <t>Anexo III (FG-6 ou GE-6)</t>
  </si>
  <si>
    <t>Piso</t>
  </si>
  <si>
    <t>Tabela de Valores Nº 27 - B</t>
  </si>
  <si>
    <t>Correspondente à FG-1</t>
  </si>
  <si>
    <t>Correspondente à FG-2</t>
  </si>
  <si>
    <t>Correspondente à FG-3</t>
  </si>
  <si>
    <t>Correspondente à FG-4</t>
  </si>
  <si>
    <t>Correspondente à FG-5</t>
  </si>
  <si>
    <t>Correspondente à FG-6</t>
  </si>
  <si>
    <t>Correspondente à FG-7</t>
  </si>
  <si>
    <t>Correspondente à FG-8</t>
  </si>
  <si>
    <t>Anexo III (FG-7 ou GE-7)</t>
  </si>
  <si>
    <t>Equivalência</t>
  </si>
  <si>
    <t>Papil., Fot. Crim. E</t>
  </si>
  <si>
    <t>Perito E</t>
  </si>
  <si>
    <t>Aux. de Perícia E</t>
  </si>
  <si>
    <t>Pessoal da Secretaria da Fazenda</t>
  </si>
  <si>
    <t>Auxiliar de Expedição e Limpeza Nível II Cl. A</t>
  </si>
  <si>
    <t>Auxiliar de Expedição e Limpeza Nível  I Cl. D</t>
  </si>
  <si>
    <t>Auxiliar de Expedição e Limpeza Nível  I Cl. C</t>
  </si>
  <si>
    <t xml:space="preserve">  </t>
  </si>
  <si>
    <t>PD31</t>
  </si>
  <si>
    <t>PD32</t>
  </si>
  <si>
    <t>PD33</t>
  </si>
  <si>
    <t>PD11</t>
  </si>
  <si>
    <t>PD12</t>
  </si>
  <si>
    <t>B2</t>
  </si>
  <si>
    <t>FG II</t>
  </si>
  <si>
    <t xml:space="preserve">  50</t>
  </si>
  <si>
    <t>B3</t>
  </si>
  <si>
    <t>B4</t>
  </si>
  <si>
    <t>PD15</t>
  </si>
  <si>
    <t>PD16</t>
  </si>
  <si>
    <t>PD17</t>
  </si>
  <si>
    <t>PD18</t>
  </si>
  <si>
    <t>PD19</t>
  </si>
  <si>
    <t>PD20</t>
  </si>
  <si>
    <t>Padrão</t>
  </si>
  <si>
    <t xml:space="preserve">       Básico</t>
  </si>
  <si>
    <t xml:space="preserve"> CC IV</t>
  </si>
  <si>
    <t>FG VII</t>
  </si>
  <si>
    <t>TAB03</t>
  </si>
  <si>
    <t>C2</t>
  </si>
  <si>
    <t>PD38</t>
  </si>
  <si>
    <t>PD39</t>
  </si>
  <si>
    <t>1 x CC 01</t>
  </si>
  <si>
    <t>1 x CC 02</t>
  </si>
  <si>
    <t>1 x CC 03</t>
  </si>
  <si>
    <t>1 x CC 04</t>
  </si>
  <si>
    <t>1 x CC 05</t>
  </si>
  <si>
    <t>1 x CC 06</t>
  </si>
  <si>
    <t>1 x CC 07</t>
  </si>
  <si>
    <t>1 x CC 08</t>
  </si>
  <si>
    <t>1 x CC 09</t>
  </si>
  <si>
    <t>1 x CC 10</t>
  </si>
  <si>
    <t>1 x CC 11</t>
  </si>
  <si>
    <t>1 x CC 12</t>
  </si>
  <si>
    <t>1 x CCE 01</t>
  </si>
  <si>
    <t>1 x CCE 02</t>
  </si>
  <si>
    <t>1 x CCE 03</t>
  </si>
  <si>
    <t>1 x CCE 04</t>
  </si>
  <si>
    <t>1 x CCE 05</t>
  </si>
  <si>
    <t>1 x CCE 06</t>
  </si>
  <si>
    <t>1 x CCE 07</t>
  </si>
  <si>
    <t>1 x CCE 08</t>
  </si>
  <si>
    <t>1 x CCE 09</t>
  </si>
  <si>
    <t>1 x CCE 10</t>
  </si>
  <si>
    <t>1 x CCE 11</t>
  </si>
  <si>
    <t>1 x CCE 12</t>
  </si>
  <si>
    <t>1 x CC PGE 01</t>
  </si>
  <si>
    <t>1 x CC PGE 02</t>
  </si>
  <si>
    <t xml:space="preserve">Médico Contr. Temp. SUSEPE Lei 12312/2005 </t>
  </si>
  <si>
    <t xml:space="preserve">Asist. Social Contr. Temp. SUSEPE Lei 12312/2005 </t>
  </si>
  <si>
    <t>1 x CC PGE 03</t>
  </si>
  <si>
    <t xml:space="preserve">Substituída a/c 12/2001 pela Tabela 38. </t>
  </si>
  <si>
    <t>Servidores transferidos para Tabela 38 a/c 07/2003.</t>
  </si>
  <si>
    <t>1 x CC PGE 04</t>
  </si>
  <si>
    <t>1 x CC PGE 05</t>
  </si>
  <si>
    <t>1 x CC PGE 06</t>
  </si>
  <si>
    <t>1 x CC PGE 07</t>
  </si>
  <si>
    <t>1 x CC PGE 08</t>
  </si>
  <si>
    <t>1 x CC PGE 09</t>
  </si>
  <si>
    <t>1 x CC PGE 10</t>
  </si>
  <si>
    <t>1 x CC PGE 11</t>
  </si>
  <si>
    <t>1 x CC PGE 12</t>
  </si>
  <si>
    <t>Teto G.E.</t>
  </si>
  <si>
    <t>Limite G.E. Incorp. (AS-6)</t>
  </si>
  <si>
    <t>IV</t>
  </si>
  <si>
    <t>V</t>
  </si>
  <si>
    <t>Cargo</t>
  </si>
  <si>
    <t>Diretor</t>
  </si>
  <si>
    <t>Vice-Dir.</t>
  </si>
  <si>
    <t>C. H.</t>
  </si>
  <si>
    <t>PD Escola</t>
  </si>
  <si>
    <t>E. E. 1º  Grau 1ª  a 8ª  Série</t>
  </si>
  <si>
    <t>E. E. 5ª  a 8ª  Série</t>
  </si>
  <si>
    <t>E. E. 1ª a 4ª Série</t>
  </si>
  <si>
    <t>E. E. 1º Grau Inc. (Resol. Nº 111)</t>
  </si>
  <si>
    <t>E. E. 1º Grau Inc. (Resol Nº. 111)</t>
  </si>
  <si>
    <t>E. E. 1º Grau Inc. (Resol. Nº 122)</t>
  </si>
  <si>
    <t>Unid. Est. Ens. 5ª  a 8ª  Série</t>
  </si>
  <si>
    <t>Unid. Est. Ens. 1ª  a 4ª  Série</t>
  </si>
  <si>
    <t>Centro Est. Interesc. 1º  Grau</t>
  </si>
  <si>
    <t>Unid. Educ. Especial</t>
  </si>
  <si>
    <t>E. E. Integr. 1º  Grau</t>
  </si>
  <si>
    <t>Centro Reg. Ens. Supletivo</t>
  </si>
  <si>
    <t>Estabelecimento de Ens.</t>
  </si>
  <si>
    <t>Tabela de Valores Nº 27 - A</t>
  </si>
  <si>
    <t>Gratificações de Direção</t>
  </si>
  <si>
    <t>Valor</t>
  </si>
  <si>
    <t>Tabela de Valores Nº 34 - anexo</t>
  </si>
  <si>
    <t>Quadro da Caixa Econômica Estadual</t>
  </si>
  <si>
    <t>E. E. Integr. 2º  Grau, E. E. 2º  Grau,</t>
  </si>
  <si>
    <t>Centro Est. Interesc. 2º  Grau,</t>
  </si>
  <si>
    <t>E. E. 1º  e 2º  Graus,</t>
  </si>
  <si>
    <t>Índice</t>
  </si>
  <si>
    <t>PD58</t>
  </si>
  <si>
    <t>PD59</t>
  </si>
  <si>
    <t>PD60</t>
  </si>
  <si>
    <t>PD61</t>
  </si>
  <si>
    <t>PD25</t>
  </si>
  <si>
    <t>PD26</t>
  </si>
  <si>
    <t>PD27</t>
  </si>
  <si>
    <t>PD28</t>
  </si>
  <si>
    <t>PD29</t>
  </si>
  <si>
    <t>PD30</t>
  </si>
  <si>
    <t>C1</t>
  </si>
  <si>
    <t>GPR_IPPA</t>
  </si>
  <si>
    <t>C3</t>
  </si>
  <si>
    <t>PD43</t>
  </si>
  <si>
    <t>PD44</t>
  </si>
  <si>
    <t>PD45</t>
  </si>
  <si>
    <t>PD46</t>
  </si>
  <si>
    <t>PD47</t>
  </si>
  <si>
    <t>PD48</t>
  </si>
  <si>
    <t>PD49</t>
  </si>
  <si>
    <t>PD50</t>
  </si>
  <si>
    <t>PD51</t>
  </si>
  <si>
    <t>PD52</t>
  </si>
  <si>
    <t>PD53</t>
  </si>
  <si>
    <t>PD54</t>
  </si>
  <si>
    <t>PD55</t>
  </si>
  <si>
    <t>PD56</t>
  </si>
  <si>
    <t>PD57</t>
  </si>
  <si>
    <t>D1</t>
  </si>
  <si>
    <t>D2</t>
  </si>
  <si>
    <t>D6</t>
  </si>
  <si>
    <t>E1</t>
  </si>
  <si>
    <t>E2</t>
  </si>
  <si>
    <t>Ministério Público, PGE e PGJ</t>
  </si>
  <si>
    <t>Auditor do Tribunal de Contas</t>
  </si>
  <si>
    <t xml:space="preserve"> Promotor Público de Entrância Inicial</t>
  </si>
  <si>
    <t>Cons. Jur. Adv. de Of.</t>
  </si>
  <si>
    <t>Adjunto do Procurador do Estado Junto ao T.C.</t>
  </si>
  <si>
    <t>Promotor Público de Entrância Intermediária</t>
  </si>
  <si>
    <t>Promotor Público de Entrância Final</t>
  </si>
  <si>
    <t>Procurador Geral da Justiça</t>
  </si>
  <si>
    <t>Procurador do Estado Junto ao T.C.</t>
  </si>
  <si>
    <t>Secretário de Estado</t>
  </si>
  <si>
    <t>PGE</t>
  </si>
  <si>
    <t xml:space="preserve"> Motorista Cl.  F </t>
  </si>
  <si>
    <t xml:space="preserve"> Auxiliar de Serviços Gerais Cl. D </t>
  </si>
  <si>
    <t xml:space="preserve"> Auxiliar de Serviços Gerais Cl. E </t>
  </si>
  <si>
    <t xml:space="preserve"> Auxiliar de Serviços Gerais Cl. C </t>
  </si>
  <si>
    <t xml:space="preserve"> Auxiliar Administrativo Cl. G</t>
  </si>
  <si>
    <t xml:space="preserve"> Datilógrafo Cl. J</t>
  </si>
  <si>
    <t xml:space="preserve"> Agente Administrativo Cl. M</t>
  </si>
  <si>
    <t xml:space="preserve"> Agente Administrativo Cl. N</t>
  </si>
  <si>
    <t xml:space="preserve"> Agente Administrativo Cl. O</t>
  </si>
  <si>
    <t xml:space="preserve"> Auxiliar Administr. e Datil. Cl. I</t>
  </si>
  <si>
    <t xml:space="preserve"> Auxiliar de Serviços Gerais Cl. C</t>
  </si>
  <si>
    <t xml:space="preserve"> Auxiliar de Serviços Gerais Cl. D</t>
  </si>
  <si>
    <t xml:space="preserve"> Auxiliar Administr. e Datil. Cl. H</t>
  </si>
  <si>
    <t xml:space="preserve"> Auxiliar de Serviços Gerais Cl. E</t>
  </si>
  <si>
    <t xml:space="preserve"> Motorista Cl. F </t>
  </si>
  <si>
    <t xml:space="preserve"> Ass., Assist. Social, Psicólogo, Bibliotec. Jud. Cl. R </t>
  </si>
  <si>
    <t xml:space="preserve"> Assessor Judiciário Cl. R</t>
  </si>
  <si>
    <t>*</t>
  </si>
  <si>
    <t>PEPA04</t>
  </si>
  <si>
    <t>PD06</t>
  </si>
  <si>
    <t>PEPA05</t>
  </si>
  <si>
    <t>PD07</t>
  </si>
  <si>
    <t>PEPA06</t>
  </si>
  <si>
    <t>PD08</t>
  </si>
  <si>
    <t>PD09</t>
  </si>
  <si>
    <t>PD10</t>
  </si>
  <si>
    <t>PD21</t>
  </si>
  <si>
    <t>PD22</t>
  </si>
  <si>
    <t>AS - 1</t>
  </si>
  <si>
    <t>AS - 2</t>
  </si>
  <si>
    <t>AS - 3</t>
  </si>
  <si>
    <t>AS - 4</t>
  </si>
  <si>
    <t>AS - 5</t>
  </si>
  <si>
    <t>AS - 6</t>
  </si>
  <si>
    <t xml:space="preserve">  75</t>
  </si>
  <si>
    <t>PD23</t>
  </si>
  <si>
    <t>PD24</t>
  </si>
  <si>
    <t>D3</t>
  </si>
  <si>
    <t>TAB33</t>
  </si>
  <si>
    <t>C4</t>
  </si>
  <si>
    <t>C5</t>
  </si>
  <si>
    <t>C6</t>
  </si>
  <si>
    <t xml:space="preserve">A/C  </t>
  </si>
  <si>
    <t xml:space="preserve"> Tabela de Valores Nº 14 - A</t>
  </si>
  <si>
    <t xml:space="preserve"> Tabela de Valores Nº 14 - ANEXO</t>
  </si>
  <si>
    <t>Cargos em Comissão - Parcela Autônoma</t>
  </si>
  <si>
    <t>Tabela de Valores Nº 17</t>
  </si>
  <si>
    <t xml:space="preserve">A contar de Setembro/1998 foram incluídos nos respectivos padrões: Fator de Valoração - Padrões 03 a 09 e 14; Giap e Risco de Vida </t>
  </si>
  <si>
    <t>A/c Maio/2005, os padrões 25 e 48 incorparam ao básico 25% da FG inerente.</t>
  </si>
  <si>
    <t>Magistério - Plano de Carreira</t>
  </si>
  <si>
    <t xml:space="preserve"> CCE          200%    CC PGJE  200%</t>
  </si>
  <si>
    <t xml:space="preserve"> CCE PGE      200%    CC TES   160%</t>
  </si>
  <si>
    <t xml:space="preserve"> CC TA e TJ.  150%    CC ALE   200%</t>
  </si>
  <si>
    <t xml:space="preserve"> CC            FM     CC        FM</t>
  </si>
  <si>
    <t>Difícil Acesso</t>
  </si>
  <si>
    <t>20% - A</t>
  </si>
  <si>
    <t>40% - B</t>
  </si>
  <si>
    <t>60% - C</t>
  </si>
  <si>
    <t>80% - D</t>
  </si>
  <si>
    <t>100% - E</t>
  </si>
  <si>
    <t>Unidocência</t>
  </si>
  <si>
    <t>Classe Especial</t>
  </si>
  <si>
    <t>Base de Cálculo</t>
  </si>
  <si>
    <t>FG PGE 12</t>
  </si>
  <si>
    <t>FGA</t>
  </si>
  <si>
    <t>FG TES VII</t>
  </si>
  <si>
    <t>FG PJ - B</t>
  </si>
  <si>
    <t>Multiplicadores das FGs Especiais</t>
  </si>
  <si>
    <t xml:space="preserve"> FG            FM       FG         FM</t>
  </si>
  <si>
    <t xml:space="preserve"> FGE PGE      200%      FG TES    160%</t>
  </si>
  <si>
    <t xml:space="preserve"> FG TA e TJ.  150%      FG ALE    200%</t>
  </si>
  <si>
    <t xml:space="preserve"> FGE          200%      FG PGJE   200%</t>
  </si>
  <si>
    <t>Funções Gratificadas</t>
  </si>
  <si>
    <t>A</t>
  </si>
  <si>
    <t xml:space="preserve">Tabela de Valores Nº 25 </t>
  </si>
  <si>
    <t>Tabela de Valores Nº 26</t>
  </si>
  <si>
    <t>Gratificações Equivalentes</t>
  </si>
  <si>
    <t>FG TES I</t>
  </si>
  <si>
    <t>FG TES II</t>
  </si>
  <si>
    <t>FG TES III</t>
  </si>
  <si>
    <t>FG TES IV</t>
  </si>
  <si>
    <t>FG TES V</t>
  </si>
  <si>
    <t>FG TES VI</t>
  </si>
  <si>
    <t>FG 01</t>
  </si>
  <si>
    <t>FG 02</t>
  </si>
  <si>
    <t>FG 03</t>
  </si>
  <si>
    <t>FG 04</t>
  </si>
  <si>
    <t>FG 05</t>
  </si>
  <si>
    <t>FG 06</t>
  </si>
  <si>
    <t>FG 07</t>
  </si>
  <si>
    <t>FG 08</t>
  </si>
  <si>
    <t>FG 09</t>
  </si>
  <si>
    <t>FG 10</t>
  </si>
  <si>
    <t>FG 11</t>
  </si>
  <si>
    <t>FG 12</t>
  </si>
  <si>
    <t>FG PC 02</t>
  </si>
  <si>
    <t>FG PC 03</t>
  </si>
  <si>
    <t>FG PC 04</t>
  </si>
  <si>
    <t>FG PC 05</t>
  </si>
  <si>
    <t>FG PC 06</t>
  </si>
  <si>
    <t>FG PC 07</t>
  </si>
  <si>
    <t>FG PC 08</t>
  </si>
  <si>
    <t>FG PC 09</t>
  </si>
  <si>
    <t>FG PC 10</t>
  </si>
  <si>
    <t>FG PC 11</t>
  </si>
  <si>
    <t>FG PC 12</t>
  </si>
  <si>
    <t>FG PC 01</t>
  </si>
  <si>
    <t>FG PL  01</t>
  </si>
  <si>
    <t>FG PL  02</t>
  </si>
  <si>
    <t>FG PL  03</t>
  </si>
  <si>
    <t>FG PL  04</t>
  </si>
  <si>
    <t>FG PL  05</t>
  </si>
  <si>
    <t>FG PL  06</t>
  </si>
  <si>
    <t>FG PL  07</t>
  </si>
  <si>
    <t>FG PL  08</t>
  </si>
  <si>
    <t>FG PL  09</t>
  </si>
  <si>
    <t>FG PL  10</t>
  </si>
  <si>
    <t>FG PL  11</t>
  </si>
  <si>
    <t>FG PL  12</t>
  </si>
  <si>
    <t>FG PL  13</t>
  </si>
  <si>
    <t>FG PL  14</t>
  </si>
  <si>
    <t>FG TA E TJ 04</t>
  </si>
  <si>
    <t>FG TA E TJ 05</t>
  </si>
  <si>
    <t>FG TA E TJ 06</t>
  </si>
  <si>
    <t>FG TA E TJ 07</t>
  </si>
  <si>
    <t>FG TA E TJ 08</t>
  </si>
  <si>
    <t>FG TA E TJ 09</t>
  </si>
  <si>
    <t>FG PGE 07</t>
  </si>
  <si>
    <t>FG VM 03</t>
  </si>
  <si>
    <t>FG VM 06</t>
  </si>
  <si>
    <t>FG VM 08</t>
  </si>
  <si>
    <t>FG VM 09</t>
  </si>
  <si>
    <t>FG VM 11</t>
  </si>
  <si>
    <t>FG TC 01</t>
  </si>
  <si>
    <t>FG TC 02</t>
  </si>
  <si>
    <t>FG TC 03</t>
  </si>
  <si>
    <t>FG TC 04</t>
  </si>
  <si>
    <t>FG TC 05</t>
  </si>
  <si>
    <t>FG TC 06</t>
  </si>
  <si>
    <t>FG TC 07</t>
  </si>
  <si>
    <t>FG TC 09</t>
  </si>
  <si>
    <t>FG TC 10</t>
  </si>
  <si>
    <t>FG TC 11</t>
  </si>
  <si>
    <t>FG TC 12</t>
  </si>
  <si>
    <t>FG TC 08</t>
  </si>
  <si>
    <t>FG JM 09</t>
  </si>
  <si>
    <t>FG JM 10</t>
  </si>
  <si>
    <t>FG JM 08</t>
  </si>
  <si>
    <t>1 x FG 01</t>
  </si>
  <si>
    <t>1 x FG 02</t>
  </si>
  <si>
    <t>1 x FG 03</t>
  </si>
  <si>
    <t>1 x FG 04</t>
  </si>
  <si>
    <t>1 x FG 05</t>
  </si>
  <si>
    <t>1 x FG 06</t>
  </si>
  <si>
    <t>1 x FG 07</t>
  </si>
  <si>
    <t>1 x FG 08</t>
  </si>
  <si>
    <t>1,5 x FG 10</t>
  </si>
  <si>
    <t>2,0 x FG 10</t>
  </si>
  <si>
    <t>2,5 x FG 10</t>
  </si>
  <si>
    <t>3,0 x FG 10</t>
  </si>
  <si>
    <t>3,5 x FG 10</t>
  </si>
  <si>
    <t>4,0 x FG 10</t>
  </si>
  <si>
    <t>4,5 x FG 10</t>
  </si>
  <si>
    <t>5,0 x FG 10</t>
  </si>
  <si>
    <t>5,5 x FG 10</t>
  </si>
  <si>
    <t>6,0 x FG 10</t>
  </si>
  <si>
    <t>1 x FG 09</t>
  </si>
  <si>
    <t>1 x FG 10</t>
  </si>
  <si>
    <t>1 x FG 11</t>
  </si>
  <si>
    <t>1 x FG 12</t>
  </si>
  <si>
    <t>1 x FGE  01</t>
  </si>
  <si>
    <t>1 x FGE  02</t>
  </si>
  <si>
    <t>1 x FGE  03</t>
  </si>
  <si>
    <t>1 x FGE  04</t>
  </si>
  <si>
    <t>1 x FGE  05</t>
  </si>
  <si>
    <t>1 x FGE  06</t>
  </si>
  <si>
    <t>1 x FGE  07</t>
  </si>
  <si>
    <t>1 x FGE  08</t>
  </si>
  <si>
    <t>4 x FGE  08</t>
  </si>
  <si>
    <t>1 x FGE  09</t>
  </si>
  <si>
    <t>1 x FGE  10</t>
  </si>
  <si>
    <t>1 x FGE  11</t>
  </si>
  <si>
    <t>1 x FGE  12</t>
  </si>
  <si>
    <t>1 x FG PGE 01</t>
  </si>
  <si>
    <t>1 x FG PGE 02</t>
  </si>
  <si>
    <t>1 x FG PGE 03</t>
  </si>
  <si>
    <t>1 x FG PGE 04</t>
  </si>
  <si>
    <t>BásJco</t>
  </si>
  <si>
    <t>1 x FG PGE 05</t>
  </si>
  <si>
    <t>1 x FG PGE 06</t>
  </si>
  <si>
    <t>1 x FG PGE 07</t>
  </si>
  <si>
    <t>1 x FG PGE 08</t>
  </si>
  <si>
    <t>1 x FG PGE 09</t>
  </si>
  <si>
    <t xml:space="preserve">1 x FG PGE 10 </t>
  </si>
  <si>
    <t>1 x FG PGE 11</t>
  </si>
  <si>
    <t>1 x FG PGE 12</t>
  </si>
  <si>
    <t xml:space="preserve">  DPP / BDP</t>
  </si>
  <si>
    <t>TAB29</t>
  </si>
  <si>
    <t>TAB28</t>
  </si>
  <si>
    <t>FG VI</t>
  </si>
  <si>
    <t xml:space="preserve">50%  do S.M.  </t>
  </si>
  <si>
    <t xml:space="preserve">60%  do S.M.  </t>
  </si>
  <si>
    <t xml:space="preserve">70%  do S.M.  </t>
  </si>
  <si>
    <t xml:space="preserve">75%  do S.M.   </t>
  </si>
  <si>
    <t xml:space="preserve">80%  do S.M.  </t>
  </si>
  <si>
    <t xml:space="preserve">25%  do S.M.  </t>
  </si>
  <si>
    <t xml:space="preserve">70%  do  S.M.R.  </t>
  </si>
  <si>
    <t xml:space="preserve">80%  do  S.M.R.  </t>
  </si>
  <si>
    <t xml:space="preserve">60%  do  S.M.R.  </t>
  </si>
  <si>
    <t>Investigador - 1ª  Classe</t>
  </si>
  <si>
    <t>Investigador - 2ª  Classe</t>
  </si>
  <si>
    <t>Investigador - 3ª  Classe</t>
  </si>
  <si>
    <t>Inspetor - 1ª  Classe</t>
  </si>
  <si>
    <t>Inspetor -  2ª  Classe</t>
  </si>
  <si>
    <t>Inspetor - 3ª  Classe</t>
  </si>
  <si>
    <t>Jeton 1</t>
  </si>
  <si>
    <t>Jeton 2</t>
  </si>
  <si>
    <t>Jeton 3</t>
  </si>
  <si>
    <t>Jeton 4</t>
  </si>
  <si>
    <t>Inspetor - 4ª  Classe</t>
  </si>
  <si>
    <t>Delegado - 1ª  Classe</t>
  </si>
  <si>
    <t>Delegado - 2ª  Classe</t>
  </si>
  <si>
    <t>Delegado - 3ª  Classe</t>
  </si>
  <si>
    <t>Delegado - 4ª  Classe</t>
  </si>
  <si>
    <t>Investigador - 4ª Classe</t>
  </si>
  <si>
    <t xml:space="preserve">BM - Soldado - 1ª  Classe   </t>
  </si>
  <si>
    <t xml:space="preserve">BM - Soldado - 2ª  Classe   </t>
  </si>
  <si>
    <t>Investigador - 5ª Classe</t>
  </si>
  <si>
    <t>Investigador - 6ª Classe</t>
  </si>
  <si>
    <t>Investigador - 7ª Classe</t>
  </si>
  <si>
    <t>FG IV</t>
  </si>
  <si>
    <t>TAB30</t>
  </si>
  <si>
    <t xml:space="preserve">  20</t>
  </si>
  <si>
    <t>M1</t>
  </si>
  <si>
    <t>A3</t>
  </si>
  <si>
    <t xml:space="preserve"> </t>
  </si>
  <si>
    <t>A/C</t>
  </si>
  <si>
    <t xml:space="preserve">DPP / BDP  </t>
  </si>
  <si>
    <t xml:space="preserve">  DPP / BDP  </t>
  </si>
  <si>
    <t xml:space="preserve">     DPP/BDP </t>
  </si>
  <si>
    <t>D4</t>
  </si>
  <si>
    <t>D5</t>
  </si>
  <si>
    <t>E4</t>
  </si>
  <si>
    <t>E5</t>
  </si>
  <si>
    <t xml:space="preserve"> CC III</t>
  </si>
  <si>
    <t>TAB14</t>
  </si>
  <si>
    <t>TAB25</t>
  </si>
  <si>
    <t>TAB26</t>
  </si>
  <si>
    <t>TAB27</t>
  </si>
  <si>
    <t>Pd 17 - 20 h ou 4:00 / dia</t>
  </si>
  <si>
    <t>Pd 17 - 30 h ou 6:36 / dia</t>
  </si>
  <si>
    <t>FG PGE 01</t>
  </si>
  <si>
    <t>FG PGE 02</t>
  </si>
  <si>
    <t>FG PGE 04</t>
  </si>
  <si>
    <t>Pd 17 - 30 h ou 7:15 / dia</t>
  </si>
  <si>
    <t>Pd 17 - 36 h ou 7:15 / dia</t>
  </si>
  <si>
    <t>Pd 17 - 36 h ou 7:12 / dia</t>
  </si>
  <si>
    <t>Pd 17 - 36 h ou 7:10 / dia</t>
  </si>
  <si>
    <t>Pd 17 - 36 h ou 7:00 / dia</t>
  </si>
  <si>
    <t>Pd 17 - 36 h ou 6:30 / dia</t>
  </si>
  <si>
    <t>Pd 17 - 30 h ou 6:00 / dia</t>
  </si>
  <si>
    <t>Pd 17 - 20 h ou 6:00 / dia</t>
  </si>
  <si>
    <t>Pd 17 - 30 h ou 8:00 / dia</t>
  </si>
  <si>
    <t>Pd 17 - 36 h ou 6:00 / dia</t>
  </si>
  <si>
    <t>Pd 17 - 36 h ou 8 00 / dia</t>
  </si>
  <si>
    <t>Pd 17 - 40 h ou 8:00 / dia</t>
  </si>
  <si>
    <t>Pd 17 - 30 h ou 5:30 / dia</t>
  </si>
  <si>
    <t>Pd 17 - 30 h ou 5:00 / dia</t>
  </si>
  <si>
    <t>CC TES II</t>
  </si>
  <si>
    <t xml:space="preserve">CC TES III </t>
  </si>
  <si>
    <t>CC TES IV</t>
  </si>
  <si>
    <t xml:space="preserve">CC PL 10 </t>
  </si>
  <si>
    <t xml:space="preserve">CC PL 11 </t>
  </si>
  <si>
    <t>CC PL 12</t>
  </si>
  <si>
    <t xml:space="preserve">CC TC 02 </t>
  </si>
  <si>
    <t xml:space="preserve">CC TC 01 </t>
  </si>
  <si>
    <t xml:space="preserve">CC TC 03 </t>
  </si>
  <si>
    <t>CC PL 01</t>
  </si>
  <si>
    <t xml:space="preserve">CC PL 02 </t>
  </si>
  <si>
    <t xml:space="preserve">CC PL 03 </t>
  </si>
  <si>
    <t xml:space="preserve">CC PL 04 </t>
  </si>
  <si>
    <t>CC PL 05</t>
  </si>
  <si>
    <t>CC PL 06</t>
  </si>
  <si>
    <t xml:space="preserve">CC PL 07 </t>
  </si>
  <si>
    <t xml:space="preserve">CC PL 08 </t>
  </si>
  <si>
    <t>CC PL 09</t>
  </si>
  <si>
    <t xml:space="preserve">CC 02 - 40 h </t>
  </si>
  <si>
    <t xml:space="preserve">CC 03 - 40 h </t>
  </si>
  <si>
    <t>CC 04 - 40 h</t>
  </si>
  <si>
    <t>CC 05 - 40 h</t>
  </si>
  <si>
    <t xml:space="preserve">CC 06 - 40 h </t>
  </si>
  <si>
    <t xml:space="preserve">CC 07 - 40 h </t>
  </si>
  <si>
    <t>CC 08 - 40 h</t>
  </si>
  <si>
    <t xml:space="preserve">CC 09 - 40 h </t>
  </si>
  <si>
    <t>CC 10 - 40 h</t>
  </si>
  <si>
    <t xml:space="preserve">CC 11 - 40 h </t>
  </si>
  <si>
    <t>CC 12 - 40 h</t>
  </si>
  <si>
    <t>CC 01 - 30 h</t>
  </si>
  <si>
    <t>CC 02 - 30 h</t>
  </si>
  <si>
    <t xml:space="preserve">CC 03 - 30 h </t>
  </si>
  <si>
    <t>CC 04 - 30 h</t>
  </si>
  <si>
    <t>CC 05 - 30 h</t>
  </si>
  <si>
    <t xml:space="preserve">CC 06 - 30 h </t>
  </si>
  <si>
    <t>CC 07 - 30 h</t>
  </si>
  <si>
    <t>CC 08 - 30 h</t>
  </si>
  <si>
    <t>CC 09 - 30 h</t>
  </si>
  <si>
    <t xml:space="preserve">CC 10 - 30 h </t>
  </si>
  <si>
    <t xml:space="preserve">CC 11 - 30 h </t>
  </si>
  <si>
    <t>CC 01 - 40 h</t>
  </si>
  <si>
    <t>Tabela Salário Mínimo</t>
  </si>
  <si>
    <t>Piso Estadual</t>
  </si>
  <si>
    <t>SAL_MIN</t>
  </si>
  <si>
    <t>SAL_MINR</t>
  </si>
  <si>
    <t>PISO_EST</t>
  </si>
  <si>
    <t xml:space="preserve">CC PGE 12 </t>
  </si>
  <si>
    <t>CC TC 04</t>
  </si>
  <si>
    <t xml:space="preserve">CC TC 05 </t>
  </si>
  <si>
    <t>CC TC 06</t>
  </si>
  <si>
    <t>CC TC 07</t>
  </si>
  <si>
    <t>CC TC 08</t>
  </si>
  <si>
    <t>CC TC 09</t>
  </si>
  <si>
    <t xml:space="preserve">CC TC 10 </t>
  </si>
  <si>
    <t xml:space="preserve">CC TC 11 </t>
  </si>
  <si>
    <t xml:space="preserve">CC TC 12 </t>
  </si>
  <si>
    <t xml:space="preserve">CC( 1 x FGPL 07) </t>
  </si>
  <si>
    <t>CC( 1 x FGPL 08)</t>
  </si>
  <si>
    <t>CC PL 13</t>
  </si>
  <si>
    <t>CC PL 14</t>
  </si>
  <si>
    <t xml:space="preserve">CC TA e TJ 04 </t>
  </si>
  <si>
    <t>CC TA e TJ 05</t>
  </si>
  <si>
    <t>CC TA e TJ 06</t>
  </si>
  <si>
    <t xml:space="preserve">CC TA e TJ 07 </t>
  </si>
  <si>
    <t xml:space="preserve">CC TA e TJ 08 </t>
  </si>
  <si>
    <t>CC TA e TJ 09</t>
  </si>
  <si>
    <t xml:space="preserve">CC TA e TJ 10 </t>
  </si>
  <si>
    <t xml:space="preserve">CC TA e TJ 11 </t>
  </si>
  <si>
    <t>CC PGJ 04</t>
  </si>
  <si>
    <t xml:space="preserve">CC PGJ 05 </t>
  </si>
  <si>
    <t>CC PGJ 06</t>
  </si>
  <si>
    <t xml:space="preserve">CC PGJ 07 </t>
  </si>
  <si>
    <t xml:space="preserve">CC PGJ 08 </t>
  </si>
  <si>
    <t xml:space="preserve">CC PGJ 10 </t>
  </si>
  <si>
    <t>CC PGJ 11</t>
  </si>
  <si>
    <t>CC (1 x FG-10).</t>
  </si>
  <si>
    <t>CC (1 x FGTC 07)</t>
  </si>
  <si>
    <t>CC (1 x FGTC 09)</t>
  </si>
  <si>
    <t>CC (1 x FGTC 11)</t>
  </si>
  <si>
    <t>CC (1 x FGTC 10)</t>
  </si>
  <si>
    <t>CCA</t>
  </si>
  <si>
    <t>CC PGJ 12</t>
  </si>
  <si>
    <t>CC TJ 01  *</t>
  </si>
  <si>
    <t>CC TJ 02  *</t>
  </si>
  <si>
    <t>CC TJ 03  *</t>
  </si>
  <si>
    <t>CC TJ 04  *</t>
  </si>
  <si>
    <t>CC TJ 05  *</t>
  </si>
  <si>
    <t>CC TJ 06  *</t>
  </si>
  <si>
    <t>CC TJ 07  *</t>
  </si>
  <si>
    <t>CC TJ 08  *</t>
  </si>
  <si>
    <t>CC TJ 09  *</t>
  </si>
  <si>
    <t>Multiplicadores das CCs Especiais</t>
  </si>
  <si>
    <t xml:space="preserve"> CC            FM       CC         FM</t>
  </si>
  <si>
    <t xml:space="preserve"> CCE          200%      CC PGJE   200%</t>
  </si>
  <si>
    <t xml:space="preserve"> CCE PGE      200%      CC TES    160%</t>
  </si>
  <si>
    <t xml:space="preserve"> CC TA e TJ.  150%      CC ALE    200%</t>
  </si>
  <si>
    <t>Nível III - Classe D - 40 h</t>
  </si>
  <si>
    <t>Nível III - Classe C - 40 h</t>
  </si>
  <si>
    <t>Nível III - Classe B - 40 h</t>
  </si>
  <si>
    <t>Nível III - Classe A - 40 h</t>
  </si>
  <si>
    <t>Nível  II - Classe E - 40 h</t>
  </si>
  <si>
    <t>Nível  II - Classe D - 40 h</t>
  </si>
  <si>
    <t>Nível  II - Classe C - 40 h</t>
  </si>
  <si>
    <t>Nível  II - Classe B - 40 h</t>
  </si>
  <si>
    <t>Nível  II - Classe A - 40 h</t>
  </si>
  <si>
    <t>Nível   I - 40 h</t>
  </si>
  <si>
    <t>Nível III - Classe D - 30 h</t>
  </si>
  <si>
    <t>Nível III - Classe C - 30 h</t>
  </si>
  <si>
    <t>Nível III - Classe B - 30 h</t>
  </si>
  <si>
    <t>Nível III - Classe A - 30 h</t>
  </si>
  <si>
    <t>Nível  II - Classe E - 30 h</t>
  </si>
  <si>
    <t>Nível  II - Classe D - 30 h</t>
  </si>
  <si>
    <t>Nível  II - Classe C - 30 h</t>
  </si>
  <si>
    <t>Nível  II - Classe B - 30 h</t>
  </si>
  <si>
    <t>Nível  II - Classe A - 30 h</t>
  </si>
  <si>
    <t xml:space="preserve">Técnico em Planejamento - Classe A </t>
  </si>
  <si>
    <t xml:space="preserve">Técnico em Planejamento - Classe B </t>
  </si>
  <si>
    <t xml:space="preserve">Técnico em Planejamento - Classe C </t>
  </si>
  <si>
    <t xml:space="preserve">Técnico em Planejamento - Classe D </t>
  </si>
  <si>
    <t>A GACE nível médio e a GICAE nível superior foram embutidas no básico.</t>
  </si>
  <si>
    <t>Foram retiradas do básico dos Padrões 44 a 47:</t>
  </si>
  <si>
    <t>O básico dos Padrões 44 a 47 passou a ser igual ao do Téc. Cient. correspondente.</t>
  </si>
  <si>
    <t xml:space="preserve">            - Gratif. de Repres. (222% classe D)</t>
  </si>
  <si>
    <t xml:space="preserve">            - Dedicação Exclusiva (55% do básico + Repres.)</t>
  </si>
  <si>
    <t>Tabela de Valores Nº 14</t>
  </si>
  <si>
    <t>Cargos em Comissão</t>
  </si>
  <si>
    <t xml:space="preserve"> 68 - CC TA E TJ  04 </t>
  </si>
  <si>
    <t xml:space="preserve"> 69 - CC TA E TJ  05 .</t>
  </si>
  <si>
    <t xml:space="preserve"> 70 - CC TA E TJ  06 .</t>
  </si>
  <si>
    <t xml:space="preserve"> 71 - CC TA E TJ  07 </t>
  </si>
  <si>
    <t xml:space="preserve"> 72 - CC TA E TJ  08 </t>
  </si>
  <si>
    <t xml:space="preserve"> 73 - CC TA E TJ  09 .</t>
  </si>
  <si>
    <t xml:space="preserve"> 74 - CC TA E TJ  10 </t>
  </si>
  <si>
    <t xml:space="preserve"> 75 - CC TA E TJ  11 </t>
  </si>
  <si>
    <t xml:space="preserve"> 76 - CC PGJ 04 .</t>
  </si>
  <si>
    <t xml:space="preserve"> 77 - CC PGJ 05 </t>
  </si>
  <si>
    <t xml:space="preserve"> 78 - CC PGJ 06 .</t>
  </si>
  <si>
    <t xml:space="preserve"> 79 - CC PGJ 07 </t>
  </si>
  <si>
    <t xml:space="preserve"> 80 - CC PGJ 08 </t>
  </si>
  <si>
    <t xml:space="preserve"> 81 - CC PGJ 10 </t>
  </si>
  <si>
    <t xml:space="preserve"> 82 - CC PGJ 11 .</t>
  </si>
  <si>
    <t xml:space="preserve"> 85 - ** CC TJ - 01 </t>
  </si>
  <si>
    <t xml:space="preserve"> 86 - ** CC TJ - 02 </t>
  </si>
  <si>
    <t xml:space="preserve"> 87 - ** CC TJ - 03 .</t>
  </si>
  <si>
    <t xml:space="preserve"> 88 - ** CC TJ - 04 .</t>
  </si>
  <si>
    <t xml:space="preserve"> 89 - ** CC TJ - 05 </t>
  </si>
  <si>
    <t xml:space="preserve"> 90 - ** CC TJ - 06 .</t>
  </si>
  <si>
    <t xml:space="preserve"> 91 - ** CC TJ - 07 </t>
  </si>
  <si>
    <t xml:space="preserve"> 92 - ** CC TJ - 08 </t>
  </si>
  <si>
    <t xml:space="preserve"> 93 - ** CC TJ - 09 </t>
  </si>
  <si>
    <t xml:space="preserve"> 98 - CCA .</t>
  </si>
  <si>
    <t xml:space="preserve"> 99 - CC PGJ 12 .</t>
  </si>
  <si>
    <t>41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</si>
  <si>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</si>
  <si>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</si>
  <si>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</si>
  <si>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</si>
  <si>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</si>
  <si>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</si>
  <si>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</si>
  <si>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</si>
  <si>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</si>
  <si>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</si>
  <si>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</si>
  <si>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</si>
  <si>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CC PGE  07</t>
  </si>
  <si>
    <t>CC TES I</t>
  </si>
  <si>
    <t xml:space="preserve"> 83 - CC(1xFG TA,TJ-10)</t>
  </si>
  <si>
    <t xml:space="preserve"> 84 - CC(1xFG-10)</t>
  </si>
  <si>
    <t xml:space="preserve"> 94 - ** CC TJ - 10 .</t>
  </si>
  <si>
    <t xml:space="preserve"> 95 - ** CC TJ - 11 .</t>
  </si>
  <si>
    <t xml:space="preserve"> 96 - ** CC TJ - 12 </t>
  </si>
  <si>
    <t>Anexo - Contratos Emergenciais</t>
  </si>
  <si>
    <t xml:space="preserve"> 97 - CC (1xFG TC 10)</t>
  </si>
  <si>
    <t xml:space="preserve"> 62 - CC VM  08 .</t>
  </si>
  <si>
    <t xml:space="preserve"> 63 - CC VM  09 .</t>
  </si>
  <si>
    <t xml:space="preserve"> 64 - CC VM  11 </t>
  </si>
  <si>
    <t xml:space="preserve"> 65 - CC(1xFGAL 08+20%)</t>
  </si>
  <si>
    <t xml:space="preserve"> 66 - CC TA E TJ  12 </t>
  </si>
  <si>
    <t xml:space="preserve"> 67 - CC TA E TJ  03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</si>
  <si>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</si>
  <si>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</si>
  <si>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</si>
  <si>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</si>
  <si>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</si>
  <si>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</si>
  <si>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</si>
  <si>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</si>
  <si>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</si>
  <si>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</si>
  <si>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</si>
  <si>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</si>
  <si>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</si>
  <si>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</si>
  <si>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</si>
  <si>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</si>
  <si>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</si>
  <si>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</si>
  <si>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</si>
  <si>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</si>
  <si>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</si>
  <si>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</si>
  <si>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</si>
  <si>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</si>
  <si>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</si>
  <si>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</si>
  <si>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</si>
  <si>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</si>
  <si>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DPP / BDP </t>
  </si>
  <si>
    <t>Tabela de Valores Nº 05</t>
  </si>
  <si>
    <t xml:space="preserve">Juiz de Direito de 2ª  Entrância (80%) </t>
  </si>
  <si>
    <t>Juiz de Direito de 3ª  Entrância</t>
  </si>
  <si>
    <t>Juiz de Direito de 4ª  Entrância (90%)</t>
  </si>
  <si>
    <t>Juiz de Direito de 1ª  Entrância</t>
  </si>
  <si>
    <t xml:space="preserve">Juiz Substituto (80%) </t>
  </si>
  <si>
    <t>Auditor Militar de 1ª  Entrância (85%)</t>
  </si>
  <si>
    <t>Juiz de Alçada</t>
  </si>
  <si>
    <t>Juiz da Corte da Apelação / J.M. (95%)</t>
  </si>
  <si>
    <t>Conselheiro do Tribunal de Contas (100%)</t>
  </si>
  <si>
    <t>Desembargador (100%)</t>
  </si>
  <si>
    <t>Pretor (75%)</t>
  </si>
  <si>
    <t>Magistratura e Cargos Afins</t>
  </si>
  <si>
    <t>Tabela De Valores Nº  07</t>
  </si>
  <si>
    <t>Magistério - Quadro em Extinção</t>
  </si>
  <si>
    <t xml:space="preserve">M - 1 </t>
  </si>
  <si>
    <t xml:space="preserve">M - 2 </t>
  </si>
  <si>
    <t xml:space="preserve">M - 3 </t>
  </si>
  <si>
    <t xml:space="preserve">M - 4 </t>
  </si>
  <si>
    <t>Parcela Autônoma</t>
  </si>
  <si>
    <t>Tabela de Valores Nº 10</t>
  </si>
  <si>
    <t>51</t>
  </si>
  <si>
    <t>52</t>
  </si>
  <si>
    <t>53</t>
  </si>
  <si>
    <t>54</t>
  </si>
  <si>
    <t>B</t>
  </si>
  <si>
    <t>C</t>
  </si>
  <si>
    <t>D</t>
  </si>
  <si>
    <t>E</t>
  </si>
  <si>
    <t>Lei 11.126 de 10/02/1998</t>
  </si>
  <si>
    <t>Quadro da Exatoria (em extinção)</t>
  </si>
  <si>
    <t>Tabela de Valores  Nº  11</t>
  </si>
  <si>
    <t>DPP / DBP</t>
  </si>
  <si>
    <t>Funções de Assessoramento</t>
  </si>
  <si>
    <t>Tabela de Valores Nº 30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</si>
  <si>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</si>
  <si>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</si>
  <si>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</si>
  <si>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</si>
  <si>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</si>
  <si>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</si>
  <si>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</si>
  <si>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</si>
  <si>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</si>
  <si>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</si>
  <si>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</si>
  <si>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</si>
  <si>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</si>
  <si>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</si>
  <si>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</si>
  <si>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</si>
  <si>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</si>
  <si>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</si>
  <si>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</si>
  <si>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</si>
  <si>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</si>
  <si>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</si>
  <si>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</si>
  <si>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</si>
  <si>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</si>
  <si>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</si>
  <si>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</si>
  <si>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</si>
  <si>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</si>
  <si>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</si>
  <si>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</si>
  <si>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</si>
  <si>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</si>
  <si>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Defensoria Pública do Estado</t>
  </si>
  <si>
    <t>Tabela de Valores Nº 20</t>
  </si>
  <si>
    <t>Tabela de Valores Nº 21</t>
  </si>
  <si>
    <t>Procuradores do Estado</t>
  </si>
  <si>
    <t>Classe Inicial</t>
  </si>
  <si>
    <t>Classe Intermediária</t>
  </si>
  <si>
    <t>Classe Final</t>
  </si>
  <si>
    <t>Defensor Público-Geral</t>
  </si>
  <si>
    <t>Classe Superior</t>
  </si>
  <si>
    <t>Procurador Geral</t>
  </si>
  <si>
    <t>Até Outubro/1996 os Padrões 01 a 05 correspondiam aos Padrões 56 a 60 da Tabela 09</t>
  </si>
  <si>
    <t>Até Novembro/1996 os Padrões 01 a 05 Correspondiam aos Padrões 17 a 20, 36 e 54 da Tabela 09</t>
  </si>
  <si>
    <t>Tabela de Valores Nº 22</t>
  </si>
  <si>
    <t>Procuradores da Assembléia Legislativa</t>
  </si>
  <si>
    <t>Até Novembro/1996 os Padrões 01 a 05 correspondiam aos Padrões 17 a 20, 36 e 54 da Tabela 09. Em Dezembro/1996 correspondiam aos Padrões 01 a 05 da Tabela 21.</t>
  </si>
  <si>
    <t>Padrões 16, 17 e 19 tiveram a parcela autônoma incluídas no Risco de Vida em Março/1998.</t>
  </si>
  <si>
    <t xml:space="preserve"> Padrões 55, 56 e 57 incluídos em Abril/1999.</t>
  </si>
  <si>
    <t>FG V</t>
  </si>
  <si>
    <t>F3</t>
  </si>
  <si>
    <t>Básico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</si>
  <si>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</si>
  <si>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</si>
  <si>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</si>
  <si>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</si>
  <si>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</si>
  <si>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</si>
  <si>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</si>
  <si>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</si>
  <si>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</si>
  <si>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(valores pagos na FL 03/2010)</t>
  </si>
  <si>
    <t>TAB35</t>
  </si>
  <si>
    <t>Subsídio</t>
  </si>
  <si>
    <t>SUBS01</t>
  </si>
  <si>
    <t>SUBS02</t>
  </si>
  <si>
    <t>SUBS03</t>
  </si>
  <si>
    <t>SUBS04</t>
  </si>
  <si>
    <t>SUBS05</t>
  </si>
  <si>
    <t xml:space="preserve">                Lei 13.671/2010, art. 1º altera o provim. Esp. de 2,0 para 2,3 a partir de 17/01/2011. (Valores da CCE e FGE válidos somente para o mês integral).  </t>
  </si>
  <si>
    <t>PAUT_QG</t>
  </si>
  <si>
    <t>PAUT_01</t>
  </si>
  <si>
    <t>PAUT_02</t>
  </si>
  <si>
    <t>PAUT_03</t>
  </si>
  <si>
    <t>PAUT_04</t>
  </si>
  <si>
    <t>PAUT_05</t>
  </si>
  <si>
    <t>PAUT_06</t>
  </si>
  <si>
    <t>PAUT_07</t>
  </si>
  <si>
    <t>PAUT_08</t>
  </si>
  <si>
    <t>PAUT_09</t>
  </si>
  <si>
    <t>PAUT_10</t>
  </si>
  <si>
    <t>PAUT_11</t>
  </si>
  <si>
    <t>PAUT_12</t>
  </si>
  <si>
    <t>PAUT_13</t>
  </si>
  <si>
    <t>PAUT_14</t>
  </si>
  <si>
    <t>PAUT_15</t>
  </si>
  <si>
    <t>PAUT_16</t>
  </si>
  <si>
    <t>PAUT_17</t>
  </si>
  <si>
    <t>PAUT_18</t>
  </si>
  <si>
    <t>PAUT_19</t>
  </si>
  <si>
    <t>PAUT_20</t>
  </si>
  <si>
    <t>PAUT_21</t>
  </si>
  <si>
    <t>PAUT_22</t>
  </si>
  <si>
    <t>PAUT_23</t>
  </si>
  <si>
    <t>PAUT_24</t>
  </si>
  <si>
    <t>PAUT_25</t>
  </si>
  <si>
    <t>PAUT_26</t>
  </si>
  <si>
    <t>PAUT_27</t>
  </si>
  <si>
    <t>PAUT_28</t>
  </si>
  <si>
    <t>PAUT_29</t>
  </si>
  <si>
    <t>PAUT_30</t>
  </si>
  <si>
    <t>PAUT_31</t>
  </si>
  <si>
    <t>PAUT_32</t>
  </si>
  <si>
    <t>PAUT_33</t>
  </si>
  <si>
    <t>PAUT_34</t>
  </si>
  <si>
    <t>PAUT_35</t>
  </si>
  <si>
    <t>PAUT_36</t>
  </si>
  <si>
    <t>PAUT_37</t>
  </si>
  <si>
    <t>PAUT_38</t>
  </si>
  <si>
    <t>PAUT_39</t>
  </si>
  <si>
    <t>PAUT_40</t>
  </si>
  <si>
    <t>PAUT_41</t>
  </si>
  <si>
    <t>PAUT_42</t>
  </si>
  <si>
    <t>PAUT_43</t>
  </si>
  <si>
    <t>PAUT_44</t>
  </si>
  <si>
    <t>PAUT_45</t>
  </si>
  <si>
    <t>PAUT_46</t>
  </si>
  <si>
    <t>PAUT_47</t>
  </si>
  <si>
    <t>PAUT_48</t>
  </si>
  <si>
    <t>PAUT_49</t>
  </si>
  <si>
    <t>Quadro Geral -</t>
  </si>
  <si>
    <t xml:space="preserve"> Parc. Autônoma Especial</t>
  </si>
  <si>
    <t xml:space="preserve">Tabela de Valores Nº  39 </t>
  </si>
  <si>
    <t>Secretaria da Saúde - Lei 13.417/2010</t>
  </si>
  <si>
    <t>Nível Médio</t>
  </si>
  <si>
    <t>TAB39</t>
  </si>
  <si>
    <t>NT 1 - Grau A</t>
  </si>
  <si>
    <t>NM 1 - Grau A</t>
  </si>
  <si>
    <t>NF 1 - Grau A</t>
  </si>
  <si>
    <t>NT 1 - Grau B</t>
  </si>
  <si>
    <t>NM 1 - Grau B</t>
  </si>
  <si>
    <t>NF 1 - Grau B</t>
  </si>
  <si>
    <t>NT 1 - Grau C</t>
  </si>
  <si>
    <t>NM 1 - Grau C</t>
  </si>
  <si>
    <t>NF 1 - Grau C</t>
  </si>
  <si>
    <t>NT 1 - Grau D</t>
  </si>
  <si>
    <t>NM 1 - Grau D</t>
  </si>
  <si>
    <t>NF 1 - Grau D</t>
  </si>
  <si>
    <t>NT 2 - Grau A</t>
  </si>
  <si>
    <t>NM 2 - Grau A</t>
  </si>
  <si>
    <t>NF 2 - Grau A</t>
  </si>
  <si>
    <t>NT 2 - Grau B</t>
  </si>
  <si>
    <t>NM 2 - Grau B</t>
  </si>
  <si>
    <t>NF 2 - Grau B</t>
  </si>
  <si>
    <t>NT 2 - Grau C</t>
  </si>
  <si>
    <t>NM 2 - Grau C</t>
  </si>
  <si>
    <t>NF 2 - Grau C</t>
  </si>
  <si>
    <t>NT 2 - Grau D</t>
  </si>
  <si>
    <t>NM 2 - Grau D</t>
  </si>
  <si>
    <t>NF 2 - Grau D</t>
  </si>
  <si>
    <t>NT 3 - Grau A</t>
  </si>
  <si>
    <t>NM 3 - Grau A</t>
  </si>
  <si>
    <t>NF 3 - Grau A</t>
  </si>
  <si>
    <t>NT 3 - Grau B</t>
  </si>
  <si>
    <t>NM 3 - Grau B</t>
  </si>
  <si>
    <t>NF 3 - Grau B</t>
  </si>
  <si>
    <t>NT 3 - Grau C</t>
  </si>
  <si>
    <t>NM 3 - Grau C</t>
  </si>
  <si>
    <t>NF 3 - Grau C</t>
  </si>
  <si>
    <t>NT 3 - Grau D</t>
  </si>
  <si>
    <t>NM 3 - Grau D</t>
  </si>
  <si>
    <t>NF 3 - Grau D</t>
  </si>
  <si>
    <t>Nível Superior</t>
  </si>
  <si>
    <t>NS 1 - Grau A</t>
  </si>
  <si>
    <t>NS 1 - Grau B</t>
  </si>
  <si>
    <t>NS 1 - Grau C</t>
  </si>
  <si>
    <t>NS 1 - Grau D</t>
  </si>
  <si>
    <t>NS 2 - Grau A</t>
  </si>
  <si>
    <t>NS 2 - Grau B</t>
  </si>
  <si>
    <t>NS 2 - Grau C</t>
  </si>
  <si>
    <t>NS 2 - Grau D</t>
  </si>
  <si>
    <t>NS 3 - Grau A</t>
  </si>
  <si>
    <t>NS 3 - Grau B</t>
  </si>
  <si>
    <t>NS 3 - Grau C</t>
  </si>
  <si>
    <t>NS 3 - Grau D</t>
  </si>
  <si>
    <t xml:space="preserve">   Classe E</t>
  </si>
  <si>
    <t xml:space="preserve">   Classe F</t>
  </si>
  <si>
    <t>Tabela de Valores Nº 41</t>
  </si>
  <si>
    <t>Quadro Geral - Lei 14.234/2013</t>
  </si>
  <si>
    <t>TV GERAL 1 RHE</t>
  </si>
  <si>
    <t>TAB41</t>
  </si>
  <si>
    <t xml:space="preserve">       Parc. Aut.</t>
  </si>
  <si>
    <t>Médio - Grau A Nív. I</t>
  </si>
  <si>
    <t>Técnico - Grau A Nív. I</t>
  </si>
  <si>
    <t>Médio - Grau A Nív. II</t>
  </si>
  <si>
    <t>Técnico - Grau A Nív. II</t>
  </si>
  <si>
    <t>Médio - Grau B Nív. I</t>
  </si>
  <si>
    <t>Técnico - Grau B Nív. I</t>
  </si>
  <si>
    <t>Médio - Grau B Nív. II</t>
  </si>
  <si>
    <t>Técnico - Grau B Nív. II</t>
  </si>
  <si>
    <t>Médio - Grau C Nív. I</t>
  </si>
  <si>
    <t>Técnico - Grau C Nív. I</t>
  </si>
  <si>
    <t>Médio - Grau C Nív. II</t>
  </si>
  <si>
    <t>Técnico - Grau C Nív. II</t>
  </si>
  <si>
    <t>Médio - Grau D Nív. I</t>
  </si>
  <si>
    <t>Técnico - Grau D Nív. I</t>
  </si>
  <si>
    <t>Médio - Grau D Nív. II</t>
  </si>
  <si>
    <t>Técnico - Grau D Nív. II</t>
  </si>
  <si>
    <t>Médio - Grau E Nív. I</t>
  </si>
  <si>
    <t>Técnico - Grau E Nív. I</t>
  </si>
  <si>
    <t>Médio - Grau E Nív. II</t>
  </si>
  <si>
    <t>Técnico - Grau E Nív. II</t>
  </si>
  <si>
    <t>Médio - Grau F Nív. I</t>
  </si>
  <si>
    <t>Técnico - Grau F Nív. I</t>
  </si>
  <si>
    <t>Médio - Grau F Nív. II</t>
  </si>
  <si>
    <t>Técnico - Grau F Nív. II</t>
  </si>
  <si>
    <t>TV GERAL 2 RHE</t>
  </si>
  <si>
    <t>Padrão 01 - Nív I</t>
  </si>
  <si>
    <t>Padrão 10 - Nív I</t>
  </si>
  <si>
    <t>Padrão 01 - Nív II</t>
  </si>
  <si>
    <t>Padrão 10 - Nív II</t>
  </si>
  <si>
    <t>Padrão 02 - Nív I</t>
  </si>
  <si>
    <t>Padrão 11 - Nív I</t>
  </si>
  <si>
    <t>Padrão 02 - Nív II</t>
  </si>
  <si>
    <t>Padrão 11 - Nív II</t>
  </si>
  <si>
    <t>Padrão 03 - Nív I</t>
  </si>
  <si>
    <t>Padrão 12 - Nív I</t>
  </si>
  <si>
    <t>Padrão 03 - Nív II</t>
  </si>
  <si>
    <t>Padrão 12 - Nív II</t>
  </si>
  <si>
    <t>Padrão 04 - Nív I</t>
  </si>
  <si>
    <t>Padrão 13 - Nív I</t>
  </si>
  <si>
    <t>Padrão 04 - Nív II</t>
  </si>
  <si>
    <t>Padrão 13 - Nív II</t>
  </si>
  <si>
    <t>Padrão 05 - Nív I</t>
  </si>
  <si>
    <t>Padrão 14 - Nív I</t>
  </si>
  <si>
    <t>Padrão 05 - Nív II</t>
  </si>
  <si>
    <t>Padrão 14 - Nív II</t>
  </si>
  <si>
    <t>Padrão 06 - Nív I</t>
  </si>
  <si>
    <t>Padrão 15 - Nív I</t>
  </si>
  <si>
    <t>Padrão 06 - Nív II</t>
  </si>
  <si>
    <t>Padrão 15 - Nív II</t>
  </si>
  <si>
    <t>Padrão 07 - Nív I</t>
  </si>
  <si>
    <t>Padrão 16 - Nív I</t>
  </si>
  <si>
    <t>Padrão 07 - Nív II</t>
  </si>
  <si>
    <t>Padrão 16 - Nív II</t>
  </si>
  <si>
    <t>Padrão 08 - Nív I</t>
  </si>
  <si>
    <t>Padrão 17 - Nív I</t>
  </si>
  <si>
    <t>Padrão 08 - Nív II</t>
  </si>
  <si>
    <t>Padrão 17 - Nív II</t>
  </si>
  <si>
    <t>Padrão 09 - Nív I</t>
  </si>
  <si>
    <t>Padrão 18 - Nív I</t>
  </si>
  <si>
    <t>Padrão 09 - Nív II</t>
  </si>
  <si>
    <t>Padrão 18 - Nív II</t>
  </si>
  <si>
    <t>Difícil Acesso (SE)</t>
  </si>
  <si>
    <t>20%</t>
  </si>
  <si>
    <t>80%</t>
  </si>
  <si>
    <t>40%</t>
  </si>
  <si>
    <t>100%</t>
  </si>
  <si>
    <t>60%</t>
  </si>
  <si>
    <t>Not</t>
  </si>
  <si>
    <t>20% 20 h</t>
  </si>
  <si>
    <t>PA01</t>
  </si>
  <si>
    <t>PA02</t>
  </si>
  <si>
    <t>PA03</t>
  </si>
  <si>
    <t>PA04</t>
  </si>
  <si>
    <t>PA05</t>
  </si>
  <si>
    <t>PA06</t>
  </si>
  <si>
    <t>PA07</t>
  </si>
  <si>
    <t>PA08</t>
  </si>
  <si>
    <t>PA09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</si>
  <si>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</si>
  <si>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</si>
  <si>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</si>
  <si>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</si>
  <si>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</si>
  <si>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</si>
  <si>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</si>
  <si>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</si>
  <si>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</si>
  <si>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</si>
  <si>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PA20</t>
  </si>
  <si>
    <t>PA21</t>
  </si>
  <si>
    <t>PA22</t>
  </si>
  <si>
    <t>PA23</t>
  </si>
  <si>
    <t>PA24</t>
  </si>
  <si>
    <t>PA51</t>
  </si>
  <si>
    <t>PA52</t>
  </si>
  <si>
    <t>PA53</t>
  </si>
  <si>
    <t>PA54</t>
  </si>
  <si>
    <t>PA55</t>
  </si>
  <si>
    <t>PA56</t>
  </si>
  <si>
    <t>PA57</t>
  </si>
  <si>
    <t>PA58</t>
  </si>
  <si>
    <t>PA59</t>
  </si>
  <si>
    <t>PA60</t>
  </si>
  <si>
    <t>PA61</t>
  </si>
  <si>
    <t>PA62</t>
  </si>
  <si>
    <t>PA63</t>
  </si>
  <si>
    <t>PA64</t>
  </si>
  <si>
    <t>PA65</t>
  </si>
  <si>
    <t>PA66</t>
  </si>
  <si>
    <t>PA67</t>
  </si>
  <si>
    <t>PA68</t>
  </si>
  <si>
    <t>PA69</t>
  </si>
  <si>
    <t>PA70</t>
  </si>
  <si>
    <t>PA71</t>
  </si>
  <si>
    <t>PA72</t>
  </si>
  <si>
    <t>PA73</t>
  </si>
  <si>
    <t>PA74</t>
  </si>
  <si>
    <t>PA75</t>
  </si>
  <si>
    <t>PA76</t>
  </si>
  <si>
    <t>PA77</t>
  </si>
  <si>
    <t>PA78</t>
  </si>
  <si>
    <t>PA79</t>
  </si>
  <si>
    <t>PA80</t>
  </si>
  <si>
    <t>PA81</t>
  </si>
  <si>
    <t>PA82</t>
  </si>
  <si>
    <t>PA83</t>
  </si>
  <si>
    <t>PA84</t>
  </si>
  <si>
    <t>PA85</t>
  </si>
  <si>
    <t>PA86</t>
  </si>
  <si>
    <t xml:space="preserve">Tabela de Valores Nº  42 </t>
  </si>
  <si>
    <t>Secretaria dos Transportes - Nível Médio e DAE - Lei 13.438/2010</t>
  </si>
  <si>
    <t>Nível Médio - TV ESPECIAL ST</t>
  </si>
  <si>
    <t>DAE - TV ESPECIAL DAE</t>
  </si>
  <si>
    <t>TAB42</t>
  </si>
  <si>
    <t>Pd 01</t>
  </si>
  <si>
    <t>Classe A</t>
  </si>
  <si>
    <t>Pd 02</t>
  </si>
  <si>
    <t>Classe B</t>
  </si>
  <si>
    <t>Pd 03</t>
  </si>
  <si>
    <t>Classe C</t>
  </si>
  <si>
    <t>Pd 04</t>
  </si>
  <si>
    <t>Classe D</t>
  </si>
  <si>
    <t>Pd 05</t>
  </si>
  <si>
    <t>Pd 06</t>
  </si>
  <si>
    <t>Pd 07</t>
  </si>
  <si>
    <t>Pd 08</t>
  </si>
  <si>
    <t>Pd 09</t>
  </si>
  <si>
    <t>Pd 10</t>
  </si>
  <si>
    <t>Pd 11</t>
  </si>
  <si>
    <t>Pd 12</t>
  </si>
  <si>
    <t>Pd 13</t>
  </si>
  <si>
    <t>Pd 14</t>
  </si>
  <si>
    <t>Pd 15</t>
  </si>
  <si>
    <t>Pd 16</t>
  </si>
  <si>
    <t>Tabela de Valores Nº  40</t>
  </si>
  <si>
    <t>Secretaria da Ciência e Tecnologia - Lei 13.427/2010</t>
  </si>
  <si>
    <t>Nível Médio - TV ESPECIAL MED SCT</t>
  </si>
  <si>
    <t>Nível Superior - TV ESPECIAL SUP SCT</t>
  </si>
  <si>
    <t>TAB40</t>
  </si>
  <si>
    <t>Pd</t>
  </si>
  <si>
    <t>Denomin.</t>
  </si>
  <si>
    <t xml:space="preserve">      P. A.</t>
  </si>
  <si>
    <t>PA25</t>
  </si>
  <si>
    <t>PA26</t>
  </si>
  <si>
    <t>PA27</t>
  </si>
  <si>
    <t>PA28</t>
  </si>
  <si>
    <t>PA29</t>
  </si>
  <si>
    <t>PA30</t>
  </si>
  <si>
    <t>PA31</t>
  </si>
  <si>
    <t>PA32</t>
  </si>
  <si>
    <t>PA33</t>
  </si>
  <si>
    <t>PA34</t>
  </si>
  <si>
    <t>PA35</t>
  </si>
  <si>
    <t>PA36</t>
  </si>
  <si>
    <t>SUBS06</t>
  </si>
  <si>
    <t>SUBS07</t>
  </si>
  <si>
    <t>SUBS08</t>
  </si>
  <si>
    <t>SUBS09</t>
  </si>
  <si>
    <t>SUBS10</t>
  </si>
  <si>
    <t>SUBS11</t>
  </si>
  <si>
    <t>SUBS12</t>
  </si>
  <si>
    <t>SUBS13</t>
  </si>
  <si>
    <t>SUBS14</t>
  </si>
  <si>
    <t>SUBS15</t>
  </si>
  <si>
    <t>SUBS55</t>
  </si>
  <si>
    <t>SUBS56</t>
  </si>
  <si>
    <t>SUBS57</t>
  </si>
  <si>
    <t>Ag. Pen.</t>
  </si>
  <si>
    <t>Mon.  Pen.</t>
  </si>
  <si>
    <t>Ag. Pen. Adm.</t>
  </si>
  <si>
    <t>Aux. Serv. Pen.</t>
  </si>
  <si>
    <t>Mon. Pen.</t>
  </si>
  <si>
    <t>Ag. Pen. Adm</t>
  </si>
  <si>
    <t>Téc. Sup. Pen.</t>
  </si>
  <si>
    <t>SUBS28</t>
  </si>
  <si>
    <t>SUBS29</t>
  </si>
  <si>
    <t>SUBS30</t>
  </si>
  <si>
    <t>SUBS31</t>
  </si>
  <si>
    <t>SUBS52</t>
  </si>
  <si>
    <t>SUBS53</t>
  </si>
  <si>
    <t>SUBS54</t>
  </si>
  <si>
    <t>SUBS58</t>
  </si>
  <si>
    <t>SUBS59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</si>
</sst>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&quot;R $&quot;\ #,##0;\-&quot;R $&quot;\ #,##0"/>
    <numFmt numFmtId="179" formatCode="&quot;R $&quot;\ #,##0.00;\-&quot;R $&quot;\ #,##0.00"/>
    <numFmt numFmtId="180" formatCode="#,##0.0"/>
    <numFmt numFmtId="181" formatCode="mmmm\ d\,\ yyyy"/>
    <numFmt numFmtId="182" formatCode="yyyymm"/>
    <numFmt numFmtId="183" formatCode="mmmm/yyyy"/>
    <numFmt numFmtId="184" formatCode="#,##0.0000"/>
    <numFmt numFmtId="185" formatCode="#,##0.000"/>
    <numFmt numFmtId="186" formatCode="0.0000"/>
    <numFmt numFmtId="187" formatCode="[$€]\ #,##0.00;\-[$€]\ #,##0.00"/>
    <numFmt numFmtId="188" formatCode="mmm/yyyy"/>
    <numFmt numFmtId="189" formatCode="#,##0.00_ ;\-#,##0.00\ 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[$-416]dddd\,\ d&quot; de &quot;mmmm&quot; de &quot;yyyy"/>
    <numFmt numFmtId="195" formatCode="mm/yyyy"/>
    <numFmt numFmtId="196" formatCode="&quot;Ativado&quot;;&quot;Ativado&quot;;&quot;Desativado&quot;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ourier New"/>
      <family val="3"/>
    </font>
    <font>
      <sz val="9"/>
      <name val="Courier New"/>
      <family val="3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thin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ashed"/>
      <bottom style="dotted"/>
    </border>
    <border>
      <left style="thin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thin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thin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thin"/>
      <right style="dash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tted"/>
      <bottom style="dashed"/>
    </border>
    <border>
      <left style="thin"/>
      <right style="dash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dotted"/>
      <right style="thin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dotted"/>
      <right style="thin"/>
      <top style="dotted"/>
      <bottom style="dashed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dashed"/>
      <right style="thin"/>
      <top style="thin"/>
      <bottom style="dotted"/>
    </border>
    <border>
      <left style="dashed"/>
      <right style="thin"/>
      <top style="dotted"/>
      <bottom style="dotted"/>
    </border>
    <border>
      <left style="dashed"/>
      <right style="thin"/>
      <top style="dotted"/>
      <bottom style="dashed"/>
    </border>
    <border>
      <left style="dashed"/>
      <right style="thin"/>
      <top>
        <color indexed="63"/>
      </top>
      <bottom style="dotted"/>
    </border>
    <border>
      <left style="dash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dotted"/>
      <right style="thin"/>
      <top style="dashed"/>
      <bottom style="thin"/>
    </border>
    <border>
      <left style="dotted"/>
      <right style="thin"/>
      <top style="thin"/>
      <bottom style="dashed"/>
    </border>
    <border>
      <left style="hair"/>
      <right style="thin"/>
      <top style="thin"/>
      <bottom style="thin"/>
    </border>
    <border>
      <left style="hair"/>
      <right style="thin"/>
      <top style="dashed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thin"/>
      <top style="thin"/>
      <bottom>
        <color indexed="63"/>
      </bottom>
    </border>
    <border>
      <left style="dashed"/>
      <right style="thin"/>
      <top style="dashed"/>
      <bottom style="dotted"/>
    </border>
    <border>
      <left style="dotted"/>
      <right style="thin"/>
      <top style="dotted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dotted"/>
      <top style="dashed"/>
      <bottom>
        <color indexed="63"/>
      </bottom>
    </border>
    <border>
      <left style="thin"/>
      <right style="dotted"/>
      <top>
        <color indexed="63"/>
      </top>
      <bottom style="dashed"/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dotted"/>
      <right style="thin"/>
      <top style="dashed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>
        <color indexed="63"/>
      </right>
      <top style="dashed"/>
      <bottom style="dashed"/>
    </border>
    <border>
      <left style="dotted"/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 style="dotted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dashed"/>
      <bottom style="thin"/>
    </border>
    <border>
      <left style="hair"/>
      <right style="hair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ashed"/>
    </border>
    <border>
      <left style="dotted"/>
      <right style="dotted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3" fillId="27" borderId="0" applyNumberFormat="0" applyBorder="0" applyAlignment="0" applyProtection="0"/>
    <xf numFmtId="181" fontId="0" fillId="0" borderId="0" applyFill="0" applyBorder="0" applyAlignment="0" applyProtection="0"/>
    <xf numFmtId="0" fontId="64" fillId="28" borderId="2" applyNumberFormat="0" applyAlignment="0" applyProtection="0"/>
    <xf numFmtId="187" fontId="0" fillId="0" borderId="0" applyFont="0" applyFill="0" applyBorder="0" applyAlignment="0" applyProtection="0"/>
    <xf numFmtId="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29" borderId="0" applyNumberFormat="0" applyBorder="0" applyAlignment="0" applyProtection="0"/>
    <xf numFmtId="179" fontId="0" fillId="0" borderId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6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1" borderId="4" applyNumberFormat="0" applyFont="0" applyAlignment="0" applyProtection="0"/>
    <xf numFmtId="10" fontId="0" fillId="0" borderId="0" applyFill="0" applyBorder="0" applyAlignment="0" applyProtection="0"/>
    <xf numFmtId="0" fontId="67" fillId="20" borderId="5" applyNumberFormat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0" fillId="0" borderId="8" applyNumberFormat="0" applyFill="0" applyAlignment="0" applyProtection="0"/>
    <xf numFmtId="0" fontId="73" fillId="32" borderId="9" applyNumberFormat="0" applyAlignment="0" applyProtection="0"/>
    <xf numFmtId="180" fontId="0" fillId="0" borderId="0" applyFill="0" applyBorder="0" applyAlignment="0" applyProtection="0"/>
    <xf numFmtId="3" fontId="0" fillId="0" borderId="0" applyFill="0" applyBorder="0" applyAlignment="0" applyProtection="0"/>
  </cellStyleXfs>
  <cellXfs count="1579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0" fillId="33" borderId="10" xfId="57" applyNumberFormat="1" applyFont="1" applyFill="1" applyBorder="1" applyAlignment="1">
      <alignment vertical="center"/>
    </xf>
    <xf numFmtId="4" fontId="0" fillId="33" borderId="11" xfId="57" applyNumberFormat="1" applyFont="1" applyFill="1" applyBorder="1" applyAlignment="1">
      <alignment vertical="center"/>
    </xf>
    <xf numFmtId="4" fontId="0" fillId="33" borderId="12" xfId="57" applyNumberFormat="1" applyFont="1" applyFill="1" applyBorder="1" applyAlignment="1">
      <alignment vertical="center"/>
    </xf>
    <xf numFmtId="4" fontId="0" fillId="33" borderId="13" xfId="57" applyNumberFormat="1" applyFont="1" applyFill="1" applyBorder="1" applyAlignment="1">
      <alignment vertical="center"/>
    </xf>
    <xf numFmtId="4" fontId="0" fillId="33" borderId="0" xfId="57" applyNumberFormat="1" applyFont="1" applyFill="1" applyBorder="1" applyAlignment="1">
      <alignment vertical="center"/>
    </xf>
    <xf numFmtId="183" fontId="0" fillId="33" borderId="0" xfId="57" applyNumberFormat="1" applyFont="1" applyFill="1" applyBorder="1" applyAlignment="1">
      <alignment horizontal="center" vertical="center"/>
    </xf>
    <xf numFmtId="4" fontId="0" fillId="33" borderId="14" xfId="57" applyNumberFormat="1" applyFont="1" applyFill="1" applyBorder="1" applyAlignment="1">
      <alignment vertical="center"/>
    </xf>
    <xf numFmtId="4" fontId="0" fillId="33" borderId="15" xfId="57" applyNumberFormat="1" applyFont="1" applyFill="1" applyBorder="1" applyAlignment="1">
      <alignment vertical="center"/>
    </xf>
    <xf numFmtId="4" fontId="0" fillId="33" borderId="16" xfId="57" applyNumberFormat="1" applyFont="1" applyFill="1" applyBorder="1" applyAlignment="1">
      <alignment vertical="center"/>
    </xf>
    <xf numFmtId="4" fontId="0" fillId="0" borderId="10" xfId="57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57" applyNumberFormat="1" applyFont="1" applyBorder="1" applyAlignment="1">
      <alignment vertical="center"/>
    </xf>
    <xf numFmtId="4" fontId="0" fillId="0" borderId="13" xfId="57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7" xfId="57" applyNumberFormat="1" applyFont="1" applyBorder="1" applyAlignment="1">
      <alignment vertical="center"/>
    </xf>
    <xf numFmtId="4" fontId="0" fillId="0" borderId="0" xfId="57" applyNumberFormat="1" applyFont="1" applyBorder="1" applyAlignment="1">
      <alignment horizontal="center" vertical="center"/>
    </xf>
    <xf numFmtId="4" fontId="0" fillId="0" borderId="0" xfId="57" applyNumberFormat="1" applyFont="1" applyBorder="1" applyAlignment="1">
      <alignment vertical="center"/>
    </xf>
    <xf numFmtId="4" fontId="0" fillId="0" borderId="14" xfId="57" applyNumberFormat="1" applyFont="1" applyBorder="1" applyAlignment="1">
      <alignment vertical="center"/>
    </xf>
    <xf numFmtId="4" fontId="0" fillId="0" borderId="15" xfId="57" applyNumberFormat="1" applyFont="1" applyBorder="1" applyAlignment="1">
      <alignment vertical="center"/>
    </xf>
    <xf numFmtId="4" fontId="0" fillId="0" borderId="15" xfId="57" applyNumberFormat="1" applyFont="1" applyFill="1" applyBorder="1" applyAlignment="1">
      <alignment vertical="center"/>
    </xf>
    <xf numFmtId="4" fontId="0" fillId="0" borderId="16" xfId="57" applyNumberFormat="1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57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0" borderId="0" xfId="57" applyNumberFormat="1" applyFont="1" applyFill="1" applyAlignment="1">
      <alignment vertical="center"/>
    </xf>
    <xf numFmtId="4" fontId="0" fillId="0" borderId="0" xfId="57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57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57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0" fillId="0" borderId="13" xfId="57" applyNumberFormat="1" applyFont="1" applyFill="1" applyBorder="1" applyAlignment="1">
      <alignment vertical="center"/>
    </xf>
    <xf numFmtId="4" fontId="9" fillId="0" borderId="18" xfId="57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0" xfId="57" applyNumberFormat="1" applyFont="1" applyFill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0" fillId="0" borderId="14" xfId="57" applyNumberFormat="1" applyFont="1" applyFill="1" applyBorder="1" applyAlignment="1">
      <alignment vertical="center"/>
    </xf>
    <xf numFmtId="4" fontId="0" fillId="0" borderId="0" xfId="0" applyNumberFormat="1" applyFill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9" fillId="0" borderId="0" xfId="57" applyNumberFormat="1" applyFont="1" applyBorder="1" applyAlignment="1">
      <alignment horizontal="center" vertical="center"/>
    </xf>
    <xf numFmtId="4" fontId="9" fillId="0" borderId="18" xfId="57" applyNumberFormat="1" applyFont="1" applyBorder="1" applyAlignment="1">
      <alignment horizontal="right" vertical="center"/>
    </xf>
    <xf numFmtId="4" fontId="0" fillId="0" borderId="11" xfId="57" applyNumberFormat="1" applyFont="1" applyBorder="1" applyAlignment="1">
      <alignment vertical="center"/>
    </xf>
    <xf numFmtId="4" fontId="11" fillId="34" borderId="17" xfId="57" applyNumberFormat="1" applyFont="1" applyFill="1" applyBorder="1" applyAlignment="1">
      <alignment horizontal="center" vertical="center"/>
    </xf>
    <xf numFmtId="183" fontId="11" fillId="34" borderId="17" xfId="57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182" fontId="12" fillId="0" borderId="25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right" vertical="center"/>
    </xf>
    <xf numFmtId="4" fontId="10" fillId="0" borderId="0" xfId="57" applyNumberFormat="1" applyFont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0" xfId="57" applyNumberFormat="1" applyFont="1" applyAlignment="1">
      <alignment horizontal="right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9" fillId="0" borderId="0" xfId="57" applyNumberFormat="1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57" applyNumberFormat="1" applyFont="1" applyFill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57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13" fillId="0" borderId="31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4" fontId="9" fillId="0" borderId="34" xfId="0" applyNumberFormat="1" applyFont="1" applyBorder="1" applyAlignment="1">
      <alignment vertical="center"/>
    </xf>
    <xf numFmtId="0" fontId="0" fillId="0" borderId="0" xfId="57" applyNumberFormat="1" applyFont="1" applyBorder="1" applyAlignment="1">
      <alignment horizontal="center" vertical="center"/>
    </xf>
    <xf numFmtId="4" fontId="11" fillId="33" borderId="0" xfId="57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4" fontId="10" fillId="33" borderId="10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4" fontId="10" fillId="33" borderId="12" xfId="0" applyNumberFormat="1" applyFont="1" applyFill="1" applyBorder="1" applyAlignment="1">
      <alignment vertical="center"/>
    </xf>
    <xf numFmtId="4" fontId="10" fillId="33" borderId="12" xfId="57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center" vertical="center"/>
    </xf>
    <xf numFmtId="4" fontId="10" fillId="33" borderId="0" xfId="57" applyNumberFormat="1" applyFont="1" applyFill="1" applyBorder="1" applyAlignment="1">
      <alignment vertical="center"/>
    </xf>
    <xf numFmtId="4" fontId="10" fillId="33" borderId="0" xfId="57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vertical="center"/>
    </xf>
    <xf numFmtId="4" fontId="10" fillId="33" borderId="16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0" xfId="57" applyNumberFormat="1" applyFont="1" applyBorder="1" applyAlignment="1">
      <alignment vertical="center"/>
    </xf>
    <xf numFmtId="4" fontId="10" fillId="0" borderId="12" xfId="57" applyNumberFormat="1" applyFont="1" applyBorder="1" applyAlignment="1">
      <alignment vertical="center"/>
    </xf>
    <xf numFmtId="4" fontId="10" fillId="0" borderId="13" xfId="57" applyNumberFormat="1" applyFont="1" applyBorder="1" applyAlignment="1">
      <alignment vertical="center"/>
    </xf>
    <xf numFmtId="4" fontId="10" fillId="0" borderId="17" xfId="57" applyNumberFormat="1" applyFont="1" applyBorder="1" applyAlignment="1">
      <alignment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57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14" xfId="57" applyNumberFormat="1" applyFont="1" applyBorder="1" applyAlignment="1">
      <alignment vertical="center"/>
    </xf>
    <xf numFmtId="4" fontId="10" fillId="0" borderId="15" xfId="57" applyNumberFormat="1" applyFont="1" applyBorder="1" applyAlignment="1">
      <alignment vertical="center"/>
    </xf>
    <xf numFmtId="4" fontId="10" fillId="0" borderId="16" xfId="57" applyNumberFormat="1" applyFont="1" applyBorder="1" applyAlignment="1">
      <alignment vertical="center"/>
    </xf>
    <xf numFmtId="4" fontId="11" fillId="33" borderId="10" xfId="57" applyNumberFormat="1" applyFont="1" applyFill="1" applyBorder="1" applyAlignment="1">
      <alignment vertical="center"/>
    </xf>
    <xf numFmtId="4" fontId="11" fillId="33" borderId="11" xfId="57" applyNumberFormat="1" applyFont="1" applyFill="1" applyBorder="1" applyAlignment="1">
      <alignment vertical="center"/>
    </xf>
    <xf numFmtId="4" fontId="11" fillId="33" borderId="12" xfId="57" applyNumberFormat="1" applyFont="1" applyFill="1" applyBorder="1" applyAlignment="1">
      <alignment vertical="center"/>
    </xf>
    <xf numFmtId="4" fontId="11" fillId="33" borderId="13" xfId="57" applyNumberFormat="1" applyFont="1" applyFill="1" applyBorder="1" applyAlignment="1">
      <alignment vertical="center"/>
    </xf>
    <xf numFmtId="4" fontId="11" fillId="33" borderId="0" xfId="57" applyNumberFormat="1" applyFont="1" applyFill="1" applyBorder="1" applyAlignment="1">
      <alignment vertical="center"/>
    </xf>
    <xf numFmtId="4" fontId="11" fillId="33" borderId="14" xfId="57" applyNumberFormat="1" applyFont="1" applyFill="1" applyBorder="1" applyAlignment="1">
      <alignment vertical="center"/>
    </xf>
    <xf numFmtId="4" fontId="11" fillId="33" borderId="15" xfId="57" applyNumberFormat="1" applyFont="1" applyFill="1" applyBorder="1" applyAlignment="1">
      <alignment vertical="center"/>
    </xf>
    <xf numFmtId="0" fontId="10" fillId="0" borderId="0" xfId="57" applyNumberFormat="1" applyFont="1" applyBorder="1" applyAlignment="1">
      <alignment horizontal="center" vertical="center"/>
    </xf>
    <xf numFmtId="4" fontId="10" fillId="0" borderId="0" xfId="57" applyNumberFormat="1" applyFont="1" applyFill="1" applyBorder="1" applyAlignment="1">
      <alignment vertical="center"/>
    </xf>
    <xf numFmtId="4" fontId="9" fillId="0" borderId="0" xfId="57" applyNumberFormat="1" applyFont="1" applyAlignment="1">
      <alignment horizontal="center" vertical="center"/>
    </xf>
    <xf numFmtId="4" fontId="11" fillId="33" borderId="15" xfId="57" applyNumberFormat="1" applyFont="1" applyFill="1" applyBorder="1" applyAlignment="1">
      <alignment horizontal="center" vertical="center"/>
    </xf>
    <xf numFmtId="4" fontId="11" fillId="33" borderId="16" xfId="57" applyNumberFormat="1" applyFont="1" applyFill="1" applyBorder="1" applyAlignment="1">
      <alignment vertical="center"/>
    </xf>
    <xf numFmtId="4" fontId="10" fillId="0" borderId="11" xfId="57" applyNumberFormat="1" applyFont="1" applyBorder="1" applyAlignment="1">
      <alignment vertical="center"/>
    </xf>
    <xf numFmtId="4" fontId="10" fillId="35" borderId="0" xfId="0" applyNumberFormat="1" applyFont="1" applyFill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vertical="center"/>
    </xf>
    <xf numFmtId="4" fontId="13" fillId="0" borderId="37" xfId="0" applyNumberFormat="1" applyFont="1" applyBorder="1" applyAlignment="1">
      <alignment horizontal="right" vertical="center"/>
    </xf>
    <xf numFmtId="4" fontId="10" fillId="0" borderId="15" xfId="57" applyNumberFormat="1" applyFont="1" applyBorder="1" applyAlignment="1">
      <alignment horizontal="center" vertical="center"/>
    </xf>
    <xf numFmtId="4" fontId="10" fillId="0" borderId="0" xfId="57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38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 quotePrefix="1">
      <alignment horizontal="center" vertical="center"/>
    </xf>
    <xf numFmtId="4" fontId="10" fillId="0" borderId="40" xfId="0" applyNumberFormat="1" applyFont="1" applyBorder="1" applyAlignment="1" quotePrefix="1">
      <alignment horizontal="center" vertical="center"/>
    </xf>
    <xf numFmtId="4" fontId="10" fillId="0" borderId="41" xfId="0" applyNumberFormat="1" applyFont="1" applyBorder="1" applyAlignment="1" quotePrefix="1">
      <alignment horizontal="center" vertical="center"/>
    </xf>
    <xf numFmtId="4" fontId="10" fillId="0" borderId="39" xfId="57" applyNumberFormat="1" applyFont="1" applyBorder="1" applyAlignment="1" quotePrefix="1">
      <alignment horizontal="center" vertical="center"/>
    </xf>
    <xf numFmtId="4" fontId="10" fillId="0" borderId="40" xfId="57" applyNumberFormat="1" applyFont="1" applyBorder="1" applyAlignment="1" quotePrefix="1">
      <alignment horizontal="center" vertical="center"/>
    </xf>
    <xf numFmtId="4" fontId="10" fillId="0" borderId="41" xfId="57" applyNumberFormat="1" applyFont="1" applyBorder="1" applyAlignment="1" quotePrefix="1">
      <alignment horizontal="center" vertical="center"/>
    </xf>
    <xf numFmtId="4" fontId="11" fillId="33" borderId="11" xfId="57" applyNumberFormat="1" applyFont="1" applyFill="1" applyBorder="1" applyAlignment="1">
      <alignment horizontal="center" vertical="center"/>
    </xf>
    <xf numFmtId="4" fontId="10" fillId="0" borderId="11" xfId="57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4" fontId="16" fillId="0" borderId="42" xfId="0" applyNumberFormat="1" applyFont="1" applyBorder="1" applyAlignment="1">
      <alignment vertical="center"/>
    </xf>
    <xf numFmtId="4" fontId="17" fillId="0" borderId="43" xfId="0" applyNumberFormat="1" applyFont="1" applyBorder="1" applyAlignment="1">
      <alignment vertical="center"/>
    </xf>
    <xf numFmtId="4" fontId="17" fillId="0" borderId="44" xfId="0" applyNumberFormat="1" applyFont="1" applyBorder="1" applyAlignment="1">
      <alignment vertical="center"/>
    </xf>
    <xf numFmtId="4" fontId="17" fillId="0" borderId="45" xfId="0" applyNumberFormat="1" applyFont="1" applyBorder="1" applyAlignment="1">
      <alignment vertical="center"/>
    </xf>
    <xf numFmtId="4" fontId="17" fillId="0" borderId="46" xfId="0" applyNumberFormat="1" applyFont="1" applyBorder="1" applyAlignment="1">
      <alignment vertical="center"/>
    </xf>
    <xf numFmtId="4" fontId="17" fillId="0" borderId="47" xfId="0" applyNumberFormat="1" applyFont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4" fontId="11" fillId="33" borderId="12" xfId="0" applyNumberFormat="1" applyFont="1" applyFill="1" applyBorder="1" applyAlignment="1">
      <alignment vertical="center"/>
    </xf>
    <xf numFmtId="4" fontId="11" fillId="33" borderId="13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vertical="center"/>
    </xf>
    <xf numFmtId="4" fontId="11" fillId="33" borderId="14" xfId="0" applyNumberFormat="1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vertical="center"/>
    </xf>
    <xf numFmtId="4" fontId="11" fillId="33" borderId="16" xfId="0" applyNumberFormat="1" applyFont="1" applyFill="1" applyBorder="1" applyAlignment="1">
      <alignment vertical="center"/>
    </xf>
    <xf numFmtId="4" fontId="10" fillId="0" borderId="0" xfId="57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4" fontId="10" fillId="0" borderId="11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left" vertical="center"/>
    </xf>
    <xf numFmtId="4" fontId="10" fillId="0" borderId="15" xfId="57" applyNumberFormat="1" applyFont="1" applyBorder="1" applyAlignment="1">
      <alignment horizontal="left" vertical="center"/>
    </xf>
    <xf numFmtId="4" fontId="11" fillId="33" borderId="11" xfId="57" applyNumberFormat="1" applyFont="1" applyFill="1" applyBorder="1" applyAlignment="1">
      <alignment horizontal="left" vertical="center"/>
    </xf>
    <xf numFmtId="4" fontId="11" fillId="33" borderId="15" xfId="57" applyNumberFormat="1" applyFont="1" applyFill="1" applyBorder="1" applyAlignment="1">
      <alignment horizontal="left" vertical="center"/>
    </xf>
    <xf numFmtId="4" fontId="11" fillId="33" borderId="17" xfId="57" applyNumberFormat="1" applyFont="1" applyFill="1" applyBorder="1" applyAlignment="1">
      <alignment horizontal="center" vertical="center"/>
    </xf>
    <xf numFmtId="4" fontId="9" fillId="0" borderId="48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center" vertical="center"/>
    </xf>
    <xf numFmtId="4" fontId="11" fillId="33" borderId="17" xfId="57" applyNumberFormat="1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" fontId="9" fillId="0" borderId="48" xfId="57" applyNumberFormat="1" applyFont="1" applyBorder="1" applyAlignment="1">
      <alignment horizontal="center" vertical="center"/>
    </xf>
    <xf numFmtId="4" fontId="10" fillId="36" borderId="0" xfId="57" applyNumberFormat="1" applyFont="1" applyFill="1" applyAlignment="1">
      <alignment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49" fontId="13" fillId="0" borderId="5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36" borderId="0" xfId="0" applyNumberFormat="1" applyFont="1" applyFill="1" applyAlignment="1">
      <alignment vertical="center"/>
    </xf>
    <xf numFmtId="4" fontId="10" fillId="0" borderId="46" xfId="57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10" fillId="0" borderId="46" xfId="57" applyNumberFormat="1" applyFont="1" applyBorder="1" applyAlignment="1">
      <alignment horizontal="center" vertical="center"/>
    </xf>
    <xf numFmtId="4" fontId="10" fillId="33" borderId="52" xfId="57" applyNumberFormat="1" applyFont="1" applyFill="1" applyBorder="1" applyAlignment="1">
      <alignment vertical="center"/>
    </xf>
    <xf numFmtId="4" fontId="10" fillId="33" borderId="53" xfId="57" applyNumberFormat="1" applyFont="1" applyFill="1" applyBorder="1" applyAlignment="1">
      <alignment vertical="center"/>
    </xf>
    <xf numFmtId="4" fontId="10" fillId="33" borderId="54" xfId="57" applyNumberFormat="1" applyFont="1" applyFill="1" applyBorder="1" applyAlignment="1">
      <alignment vertical="center"/>
    </xf>
    <xf numFmtId="4" fontId="10" fillId="33" borderId="55" xfId="57" applyNumberFormat="1" applyFont="1" applyFill="1" applyBorder="1" applyAlignment="1">
      <alignment vertical="center"/>
    </xf>
    <xf numFmtId="4" fontId="10" fillId="33" borderId="56" xfId="57" applyNumberFormat="1" applyFont="1" applyFill="1" applyBorder="1" applyAlignment="1">
      <alignment vertical="center"/>
    </xf>
    <xf numFmtId="4" fontId="10" fillId="0" borderId="0" xfId="57" applyNumberFormat="1" applyFont="1" applyFill="1" applyAlignment="1">
      <alignment horizontal="center" vertical="center"/>
    </xf>
    <xf numFmtId="4" fontId="10" fillId="0" borderId="49" xfId="57" applyNumberFormat="1" applyFont="1" applyBorder="1" applyAlignment="1">
      <alignment horizontal="center" vertical="center"/>
    </xf>
    <xf numFmtId="3" fontId="10" fillId="0" borderId="48" xfId="57" applyNumberFormat="1" applyFont="1" applyBorder="1" applyAlignment="1">
      <alignment horizontal="center" vertical="center"/>
    </xf>
    <xf numFmtId="4" fontId="10" fillId="33" borderId="57" xfId="57" applyNumberFormat="1" applyFont="1" applyFill="1" applyBorder="1" applyAlignment="1">
      <alignment vertical="center"/>
    </xf>
    <xf numFmtId="4" fontId="10" fillId="33" borderId="58" xfId="57" applyNumberFormat="1" applyFont="1" applyFill="1" applyBorder="1" applyAlignment="1">
      <alignment vertical="center"/>
    </xf>
    <xf numFmtId="4" fontId="10" fillId="33" borderId="59" xfId="57" applyNumberFormat="1" applyFont="1" applyFill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3" fontId="10" fillId="0" borderId="50" xfId="57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vertical="center"/>
    </xf>
    <xf numFmtId="4" fontId="11" fillId="33" borderId="15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11" fillId="33" borderId="11" xfId="57" applyNumberFormat="1" applyFont="1" applyFill="1" applyBorder="1" applyAlignment="1">
      <alignment horizontal="center" vertical="center"/>
    </xf>
    <xf numFmtId="0" fontId="11" fillId="33" borderId="15" xfId="57" applyNumberFormat="1" applyFont="1" applyFill="1" applyBorder="1" applyAlignment="1">
      <alignment horizontal="center" vertical="center"/>
    </xf>
    <xf numFmtId="0" fontId="10" fillId="0" borderId="15" xfId="57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4" fontId="18" fillId="33" borderId="11" xfId="0" applyNumberFormat="1" applyFont="1" applyFill="1" applyBorder="1" applyAlignment="1">
      <alignment horizontal="center" vertical="center"/>
    </xf>
    <xf numFmtId="4" fontId="18" fillId="33" borderId="1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0" fillId="34" borderId="0" xfId="57" applyNumberFormat="1" applyFont="1" applyFill="1" applyBorder="1" applyAlignment="1">
      <alignment vertical="center"/>
    </xf>
    <xf numFmtId="4" fontId="10" fillId="34" borderId="0" xfId="57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vertical="center"/>
    </xf>
    <xf numFmtId="4" fontId="9" fillId="0" borderId="0" xfId="57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0" fillId="0" borderId="17" xfId="57" applyNumberFormat="1" applyFont="1" applyFill="1" applyBorder="1" applyAlignment="1">
      <alignment vertical="center"/>
    </xf>
    <xf numFmtId="4" fontId="13" fillId="0" borderId="14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center" vertical="center"/>
    </xf>
    <xf numFmtId="4" fontId="10" fillId="0" borderId="15" xfId="57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4" fontId="13" fillId="0" borderId="15" xfId="0" applyNumberFormat="1" applyFont="1" applyBorder="1" applyAlignment="1">
      <alignment horizontal="right" vertical="center"/>
    </xf>
    <xf numFmtId="4" fontId="15" fillId="0" borderId="18" xfId="57" applyNumberFormat="1" applyFont="1" applyBorder="1" applyAlignment="1">
      <alignment horizontal="center" vertical="center"/>
    </xf>
    <xf numFmtId="4" fontId="14" fillId="0" borderId="39" xfId="0" applyNumberFormat="1" applyFont="1" applyBorder="1" applyAlignment="1" quotePrefix="1">
      <alignment horizontal="center" vertical="center"/>
    </xf>
    <xf numFmtId="4" fontId="14" fillId="0" borderId="40" xfId="0" applyNumberFormat="1" applyFont="1" applyBorder="1" applyAlignment="1" quotePrefix="1">
      <alignment horizontal="center" vertical="center"/>
    </xf>
    <xf numFmtId="4" fontId="14" fillId="0" borderId="41" xfId="0" applyNumberFormat="1" applyFont="1" applyBorder="1" applyAlignment="1" quotePrefix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0" fillId="0" borderId="0" xfId="62" applyNumberFormat="1" applyAlignment="1">
      <alignment vertical="center"/>
      <protection/>
    </xf>
    <xf numFmtId="4" fontId="0" fillId="35" borderId="0" xfId="62" applyNumberFormat="1" applyFill="1" applyBorder="1" applyAlignment="1">
      <alignment vertical="center"/>
      <protection/>
    </xf>
    <xf numFmtId="4" fontId="0" fillId="34" borderId="0" xfId="57" applyNumberFormat="1" applyFont="1" applyFill="1" applyBorder="1" applyAlignment="1">
      <alignment vertical="center"/>
    </xf>
    <xf numFmtId="4" fontId="1" fillId="0" borderId="0" xfId="57" applyNumberFormat="1" applyFont="1" applyAlignment="1">
      <alignment horizontal="center" vertical="center"/>
    </xf>
    <xf numFmtId="0" fontId="0" fillId="0" borderId="0" xfId="62" applyAlignment="1">
      <alignment vertical="center"/>
      <protection/>
    </xf>
    <xf numFmtId="4" fontId="0" fillId="34" borderId="0" xfId="57" applyNumberFormat="1" applyFont="1" applyFill="1" applyBorder="1" applyAlignment="1">
      <alignment horizontal="center" vertical="center"/>
    </xf>
    <xf numFmtId="4" fontId="0" fillId="0" borderId="13" xfId="62" applyNumberFormat="1" applyBorder="1" applyAlignment="1">
      <alignment vertical="center"/>
      <protection/>
    </xf>
    <xf numFmtId="4" fontId="0" fillId="0" borderId="0" xfId="62" applyNumberFormat="1" applyBorder="1" applyAlignment="1">
      <alignment vertical="center"/>
      <protection/>
    </xf>
    <xf numFmtId="4" fontId="0" fillId="0" borderId="17" xfId="62" applyNumberFormat="1" applyBorder="1" applyAlignment="1">
      <alignment vertical="center"/>
      <protection/>
    </xf>
    <xf numFmtId="182" fontId="7" fillId="0" borderId="0" xfId="62" applyNumberFormat="1" applyFont="1" applyBorder="1" applyAlignment="1">
      <alignment vertical="center"/>
      <protection/>
    </xf>
    <xf numFmtId="182" fontId="7" fillId="0" borderId="13" xfId="62" applyNumberFormat="1" applyFont="1" applyBorder="1" applyAlignment="1">
      <alignment vertical="center"/>
      <protection/>
    </xf>
    <xf numFmtId="4" fontId="1" fillId="0" borderId="0" xfId="57" applyNumberFormat="1" applyFont="1" applyBorder="1" applyAlignment="1">
      <alignment horizontal="right" vertical="center"/>
    </xf>
    <xf numFmtId="4" fontId="6" fillId="0" borderId="0" xfId="62" applyNumberFormat="1" applyFont="1" applyBorder="1" applyAlignment="1">
      <alignment horizontal="right" vertical="center"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0" fillId="0" borderId="0" xfId="62" applyNumberFormat="1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</xf>
    <xf numFmtId="49" fontId="6" fillId="0" borderId="0" xfId="62" applyNumberFormat="1" applyFont="1" applyBorder="1" applyAlignment="1">
      <alignment horizontal="center" vertical="center"/>
      <protection/>
    </xf>
    <xf numFmtId="4" fontId="6" fillId="0" borderId="14" xfId="62" applyNumberFormat="1" applyFont="1" applyBorder="1" applyAlignment="1">
      <alignment horizontal="right" vertical="center"/>
      <protection/>
    </xf>
    <xf numFmtId="4" fontId="6" fillId="0" borderId="15" xfId="62" applyNumberFormat="1" applyFont="1" applyBorder="1" applyAlignment="1">
      <alignment horizontal="right" vertical="center"/>
      <protection/>
    </xf>
    <xf numFmtId="4" fontId="0" fillId="0" borderId="16" xfId="62" applyNumberFormat="1" applyBorder="1" applyAlignment="1">
      <alignment vertical="center"/>
      <protection/>
    </xf>
    <xf numFmtId="4" fontId="19" fillId="0" borderId="0" xfId="62" applyNumberFormat="1" applyFont="1" applyAlignment="1">
      <alignment horizontal="center" vertical="center"/>
      <protection/>
    </xf>
    <xf numFmtId="4" fontId="19" fillId="0" borderId="0" xfId="62" applyNumberFormat="1" applyFont="1" applyBorder="1" applyAlignment="1">
      <alignment horizontal="center" vertical="center"/>
      <protection/>
    </xf>
    <xf numFmtId="4" fontId="19" fillId="0" borderId="15" xfId="62" applyNumberFormat="1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4" fontId="0" fillId="0" borderId="0" xfId="62" applyNumberFormat="1" applyAlignment="1">
      <alignment horizontal="center" vertical="center"/>
      <protection/>
    </xf>
    <xf numFmtId="4" fontId="0" fillId="0" borderId="0" xfId="62" applyNumberFormat="1" applyBorder="1" applyAlignment="1">
      <alignment horizontal="center" vertical="center"/>
      <protection/>
    </xf>
    <xf numFmtId="4" fontId="0" fillId="0" borderId="15" xfId="62" applyNumberFormat="1" applyBorder="1" applyAlignment="1">
      <alignment horizontal="center" vertical="center"/>
      <protection/>
    </xf>
    <xf numFmtId="4" fontId="9" fillId="0" borderId="17" xfId="57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9" fontId="10" fillId="0" borderId="46" xfId="0" applyNumberFormat="1" applyFont="1" applyBorder="1" applyAlignment="1">
      <alignment horizontal="center" vertical="center"/>
    </xf>
    <xf numFmtId="4" fontId="11" fillId="33" borderId="0" xfId="57" applyNumberFormat="1" applyFont="1" applyFill="1" applyBorder="1" applyAlignment="1">
      <alignment horizontal="left" vertical="center"/>
    </xf>
    <xf numFmtId="4" fontId="12" fillId="0" borderId="61" xfId="0" applyNumberFormat="1" applyFont="1" applyBorder="1" applyAlignment="1">
      <alignment horizontal="center" vertical="center"/>
    </xf>
    <xf numFmtId="182" fontId="12" fillId="0" borderId="62" xfId="0" applyNumberFormat="1" applyFont="1" applyBorder="1" applyAlignment="1">
      <alignment vertical="center"/>
    </xf>
    <xf numFmtId="4" fontId="20" fillId="37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21" fillId="37" borderId="0" xfId="0" applyNumberFormat="1" applyFont="1" applyFill="1" applyAlignment="1">
      <alignment vertical="center"/>
    </xf>
    <xf numFmtId="4" fontId="20" fillId="38" borderId="0" xfId="57" applyNumberFormat="1" applyFont="1" applyFill="1" applyAlignment="1">
      <alignment vertical="center"/>
    </xf>
    <xf numFmtId="4" fontId="10" fillId="0" borderId="0" xfId="62" applyNumberFormat="1" applyFont="1" applyAlignment="1">
      <alignment vertical="center"/>
      <protection/>
    </xf>
    <xf numFmtId="49" fontId="12" fillId="0" borderId="24" xfId="62" applyNumberFormat="1" applyFont="1" applyBorder="1" applyAlignment="1">
      <alignment horizontal="center" vertical="center"/>
      <protection/>
    </xf>
    <xf numFmtId="182" fontId="12" fillId="0" borderId="25" xfId="62" applyNumberFormat="1" applyFont="1" applyBorder="1" applyAlignment="1">
      <alignment vertical="center"/>
      <protection/>
    </xf>
    <xf numFmtId="49" fontId="13" fillId="0" borderId="28" xfId="62" applyNumberFormat="1" applyFont="1" applyBorder="1" applyAlignment="1">
      <alignment horizontal="center" vertical="center"/>
      <protection/>
    </xf>
    <xf numFmtId="4" fontId="13" fillId="0" borderId="27" xfId="62" applyNumberFormat="1" applyFont="1" applyBorder="1" applyAlignment="1">
      <alignment horizontal="right" vertical="center"/>
      <protection/>
    </xf>
    <xf numFmtId="49" fontId="13" fillId="0" borderId="29" xfId="62" applyNumberFormat="1" applyFont="1" applyBorder="1" applyAlignment="1">
      <alignment horizontal="center" vertical="center"/>
      <protection/>
    </xf>
    <xf numFmtId="4" fontId="13" fillId="0" borderId="31" xfId="62" applyNumberFormat="1" applyFont="1" applyBorder="1" applyAlignment="1">
      <alignment horizontal="right" vertical="center"/>
      <protection/>
    </xf>
    <xf numFmtId="49" fontId="13" fillId="0" borderId="0" xfId="62" applyNumberFormat="1" applyFont="1" applyBorder="1" applyAlignment="1">
      <alignment horizontal="center" vertical="center"/>
      <protection/>
    </xf>
    <xf numFmtId="4" fontId="13" fillId="0" borderId="0" xfId="62" applyNumberFormat="1" applyFont="1" applyBorder="1" applyAlignment="1">
      <alignment horizontal="right" vertical="center"/>
      <protection/>
    </xf>
    <xf numFmtId="4" fontId="9" fillId="0" borderId="18" xfId="62" applyNumberFormat="1" applyFont="1" applyBorder="1" applyAlignment="1">
      <alignment horizontal="center" vertical="center"/>
      <protection/>
    </xf>
    <xf numFmtId="4" fontId="14" fillId="0" borderId="0" xfId="62" applyNumberFormat="1" applyFont="1" applyBorder="1" applyAlignment="1">
      <alignment horizontal="center" vertical="center"/>
      <protection/>
    </xf>
    <xf numFmtId="4" fontId="10" fillId="0" borderId="0" xfId="62" applyNumberFormat="1" applyFont="1" applyBorder="1" applyAlignment="1">
      <alignment horizontal="center" vertical="center"/>
      <protection/>
    </xf>
    <xf numFmtId="4" fontId="10" fillId="0" borderId="0" xfId="62" applyNumberFormat="1" applyFont="1" applyBorder="1" applyAlignment="1">
      <alignment vertical="center"/>
      <protection/>
    </xf>
    <xf numFmtId="4" fontId="14" fillId="0" borderId="39" xfId="62" applyNumberFormat="1" applyFont="1" applyBorder="1" applyAlignment="1" quotePrefix="1">
      <alignment horizontal="center" vertical="center"/>
      <protection/>
    </xf>
    <xf numFmtId="4" fontId="14" fillId="0" borderId="40" xfId="62" applyNumberFormat="1" applyFont="1" applyBorder="1" applyAlignment="1" quotePrefix="1">
      <alignment horizontal="center" vertical="center"/>
      <protection/>
    </xf>
    <xf numFmtId="4" fontId="14" fillId="0" borderId="41" xfId="62" applyNumberFormat="1" applyFont="1" applyBorder="1" applyAlignment="1" quotePrefix="1">
      <alignment horizontal="center" vertical="center"/>
      <protection/>
    </xf>
    <xf numFmtId="4" fontId="10" fillId="0" borderId="21" xfId="62" applyNumberFormat="1" applyFont="1" applyBorder="1" applyAlignment="1">
      <alignment horizontal="center" vertical="center"/>
      <protection/>
    </xf>
    <xf numFmtId="4" fontId="10" fillId="0" borderId="22" xfId="62" applyNumberFormat="1" applyFont="1" applyBorder="1" applyAlignment="1">
      <alignment horizontal="center" vertical="center"/>
      <protection/>
    </xf>
    <xf numFmtId="4" fontId="10" fillId="0" borderId="23" xfId="62" applyNumberFormat="1" applyFont="1" applyBorder="1" applyAlignment="1">
      <alignment horizontal="center" vertical="center"/>
      <protection/>
    </xf>
    <xf numFmtId="4" fontId="0" fillId="0" borderId="13" xfId="0" applyNumberFormat="1" applyFill="1" applyBorder="1" applyAlignment="1">
      <alignment vertical="center"/>
    </xf>
    <xf numFmtId="4" fontId="0" fillId="33" borderId="11" xfId="57" applyNumberFormat="1" applyFont="1" applyFill="1" applyBorder="1" applyAlignment="1">
      <alignment horizontal="center" vertical="center"/>
    </xf>
    <xf numFmtId="4" fontId="0" fillId="33" borderId="15" xfId="57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5" xfId="57" applyNumberFormat="1" applyFont="1" applyBorder="1" applyAlignment="1">
      <alignment horizontal="center" vertical="center"/>
    </xf>
    <xf numFmtId="0" fontId="10" fillId="0" borderId="11" xfId="57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33" borderId="11" xfId="57" applyNumberFormat="1" applyFont="1" applyFill="1" applyBorder="1" applyAlignment="1">
      <alignment vertical="center"/>
    </xf>
    <xf numFmtId="0" fontId="11" fillId="33" borderId="15" xfId="57" applyNumberFormat="1" applyFont="1" applyFill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5" xfId="57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0" xfId="0" applyNumberFormat="1" applyFont="1" applyBorder="1" applyAlignment="1" quotePrefix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4" fontId="1" fillId="33" borderId="13" xfId="57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1" fillId="33" borderId="0" xfId="57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183" fontId="11" fillId="33" borderId="17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4" fontId="16" fillId="0" borderId="13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183" fontId="0" fillId="33" borderId="0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 quotePrefix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34" borderId="0" xfId="63" applyNumberFormat="1" applyFont="1" applyFill="1" applyBorder="1" applyAlignment="1">
      <alignment vertical="center"/>
    </xf>
    <xf numFmtId="4" fontId="0" fillId="34" borderId="0" xfId="63" applyNumberFormat="1" applyFont="1" applyFill="1" applyBorder="1" applyAlignment="1">
      <alignment horizontal="center" vertical="center"/>
    </xf>
    <xf numFmtId="4" fontId="0" fillId="0" borderId="0" xfId="63" applyNumberFormat="1" applyFont="1" applyBorder="1" applyAlignment="1">
      <alignment vertical="center"/>
    </xf>
    <xf numFmtId="4" fontId="0" fillId="0" borderId="0" xfId="63" applyNumberFormat="1" applyFont="1" applyFill="1" applyBorder="1" applyAlignment="1">
      <alignment vertical="center"/>
    </xf>
    <xf numFmtId="4" fontId="0" fillId="0" borderId="0" xfId="63" applyNumberFormat="1" applyFont="1" applyAlignment="1">
      <alignment vertical="center"/>
    </xf>
    <xf numFmtId="4" fontId="0" fillId="0" borderId="15" xfId="63" applyNumberFormat="1" applyFont="1" applyBorder="1" applyAlignment="1">
      <alignment vertical="center"/>
    </xf>
    <xf numFmtId="4" fontId="0" fillId="0" borderId="0" xfId="63" applyNumberFormat="1" applyFont="1" applyBorder="1" applyAlignment="1">
      <alignment horizontal="center" vertical="center"/>
    </xf>
    <xf numFmtId="4" fontId="9" fillId="0" borderId="0" xfId="63" applyNumberFormat="1" applyFont="1" applyBorder="1" applyAlignment="1">
      <alignment horizontal="right" vertical="center"/>
    </xf>
    <xf numFmtId="4" fontId="10" fillId="0" borderId="0" xfId="63" applyNumberFormat="1" applyFont="1" applyBorder="1" applyAlignment="1">
      <alignment vertical="center"/>
    </xf>
    <xf numFmtId="4" fontId="0" fillId="0" borderId="0" xfId="62" applyNumberFormat="1" applyAlignment="1">
      <alignment horizontal="left" vertical="center"/>
      <protection/>
    </xf>
    <xf numFmtId="4" fontId="11" fillId="33" borderId="15" xfId="0" applyNumberFormat="1" applyFont="1" applyFill="1" applyBorder="1" applyAlignment="1">
      <alignment horizontal="left" vertical="center"/>
    </xf>
    <xf numFmtId="4" fontId="0" fillId="0" borderId="0" xfId="62" applyNumberFormat="1" applyBorder="1" applyAlignment="1">
      <alignment horizontal="left" vertical="center"/>
      <protection/>
    </xf>
    <xf numFmtId="4" fontId="10" fillId="0" borderId="0" xfId="62" applyNumberFormat="1" applyFont="1" applyBorder="1" applyAlignment="1">
      <alignment horizontal="left" vertical="center"/>
      <protection/>
    </xf>
    <xf numFmtId="4" fontId="0" fillId="0" borderId="0" xfId="63" applyNumberFormat="1" applyFont="1" applyBorder="1" applyAlignment="1">
      <alignment horizontal="left" vertical="center"/>
    </xf>
    <xf numFmtId="4" fontId="14" fillId="0" borderId="0" xfId="62" applyNumberFormat="1" applyFont="1" applyBorder="1" applyAlignment="1" quotePrefix="1">
      <alignment horizontal="center" vertical="center"/>
      <protection/>
    </xf>
    <xf numFmtId="4" fontId="14" fillId="0" borderId="64" xfId="62" applyNumberFormat="1" applyFont="1" applyBorder="1" applyAlignment="1" quotePrefix="1">
      <alignment horizontal="center" vertical="center"/>
      <protection/>
    </xf>
    <xf numFmtId="4" fontId="10" fillId="0" borderId="65" xfId="62" applyNumberFormat="1" applyFont="1" applyBorder="1" applyAlignment="1">
      <alignment horizontal="left" vertical="center"/>
      <protection/>
    </xf>
    <xf numFmtId="4" fontId="14" fillId="0" borderId="66" xfId="62" applyNumberFormat="1" applyFont="1" applyBorder="1" applyAlignment="1" quotePrefix="1">
      <alignment horizontal="center" vertical="center"/>
      <protection/>
    </xf>
    <xf numFmtId="4" fontId="10" fillId="0" borderId="18" xfId="62" applyNumberFormat="1" applyFont="1" applyBorder="1" applyAlignment="1">
      <alignment horizontal="left" vertical="center"/>
      <protection/>
    </xf>
    <xf numFmtId="4" fontId="14" fillId="0" borderId="67" xfId="62" applyNumberFormat="1" applyFont="1" applyBorder="1" applyAlignment="1" quotePrefix="1">
      <alignment horizontal="center" vertical="center"/>
      <protection/>
    </xf>
    <xf numFmtId="4" fontId="10" fillId="0" borderId="68" xfId="62" applyNumberFormat="1" applyFont="1" applyBorder="1" applyAlignment="1">
      <alignment horizontal="left" vertical="center"/>
      <protection/>
    </xf>
    <xf numFmtId="4" fontId="0" fillId="0" borderId="55" xfId="62" applyNumberFormat="1" applyBorder="1" applyAlignment="1">
      <alignment vertical="center"/>
      <protection/>
    </xf>
    <xf numFmtId="4" fontId="0" fillId="0" borderId="56" xfId="62" applyNumberFormat="1" applyBorder="1" applyAlignment="1">
      <alignment vertical="center"/>
      <protection/>
    </xf>
    <xf numFmtId="4" fontId="15" fillId="0" borderId="69" xfId="63" applyNumberFormat="1" applyFont="1" applyBorder="1" applyAlignment="1">
      <alignment horizontal="center" vertical="center"/>
    </xf>
    <xf numFmtId="4" fontId="9" fillId="0" borderId="70" xfId="62" applyNumberFormat="1" applyFont="1" applyBorder="1" applyAlignment="1">
      <alignment horizontal="left" vertical="center"/>
      <protection/>
    </xf>
    <xf numFmtId="4" fontId="9" fillId="0" borderId="71" xfId="63" applyNumberFormat="1" applyFont="1" applyBorder="1" applyAlignment="1">
      <alignment horizontal="right" vertical="center"/>
    </xf>
    <xf numFmtId="4" fontId="11" fillId="33" borderId="52" xfId="0" applyNumberFormat="1" applyFont="1" applyFill="1" applyBorder="1" applyAlignment="1">
      <alignment horizontal="center" vertical="center"/>
    </xf>
    <xf numFmtId="4" fontId="18" fillId="33" borderId="53" xfId="0" applyNumberFormat="1" applyFont="1" applyFill="1" applyBorder="1" applyAlignment="1">
      <alignment horizontal="center" vertical="center"/>
    </xf>
    <xf numFmtId="4" fontId="11" fillId="33" borderId="53" xfId="0" applyNumberFormat="1" applyFont="1" applyFill="1" applyBorder="1" applyAlignment="1">
      <alignment horizontal="left" vertical="center"/>
    </xf>
    <xf numFmtId="4" fontId="11" fillId="33" borderId="53" xfId="0" applyNumberFormat="1" applyFont="1" applyFill="1" applyBorder="1" applyAlignment="1">
      <alignment horizontal="center" vertical="center"/>
    </xf>
    <xf numFmtId="4" fontId="11" fillId="33" borderId="54" xfId="0" applyNumberFormat="1" applyFont="1" applyFill="1" applyBorder="1" applyAlignment="1">
      <alignment horizontal="center" vertical="center"/>
    </xf>
    <xf numFmtId="4" fontId="11" fillId="33" borderId="72" xfId="0" applyNumberFormat="1" applyFont="1" applyFill="1" applyBorder="1" applyAlignment="1">
      <alignment horizontal="center" vertical="center"/>
    </xf>
    <xf numFmtId="4" fontId="11" fillId="33" borderId="73" xfId="0" applyNumberFormat="1" applyFont="1" applyFill="1" applyBorder="1" applyAlignment="1">
      <alignment horizontal="center" vertical="center"/>
    </xf>
    <xf numFmtId="182" fontId="7" fillId="0" borderId="55" xfId="62" applyNumberFormat="1" applyFont="1" applyBorder="1" applyAlignment="1">
      <alignment vertical="center"/>
      <protection/>
    </xf>
    <xf numFmtId="4" fontId="6" fillId="0" borderId="55" xfId="62" applyNumberFormat="1" applyFont="1" applyBorder="1" applyAlignment="1">
      <alignment horizontal="right" vertical="center"/>
      <protection/>
    </xf>
    <xf numFmtId="4" fontId="0" fillId="0" borderId="56" xfId="63" applyNumberFormat="1" applyFont="1" applyFill="1" applyBorder="1" applyAlignment="1">
      <alignment vertical="center"/>
    </xf>
    <xf numFmtId="4" fontId="6" fillId="0" borderId="57" xfId="62" applyNumberFormat="1" applyFont="1" applyBorder="1" applyAlignment="1">
      <alignment horizontal="right" vertical="center"/>
      <protection/>
    </xf>
    <xf numFmtId="4" fontId="19" fillId="0" borderId="58" xfId="62" applyNumberFormat="1" applyFont="1" applyBorder="1" applyAlignment="1">
      <alignment horizontal="center" vertical="center"/>
      <protection/>
    </xf>
    <xf numFmtId="4" fontId="0" fillId="0" borderId="58" xfId="62" applyNumberFormat="1" applyBorder="1" applyAlignment="1">
      <alignment horizontal="left" vertical="center"/>
      <protection/>
    </xf>
    <xf numFmtId="4" fontId="0" fillId="0" borderId="58" xfId="62" applyNumberFormat="1" applyBorder="1" applyAlignment="1">
      <alignment vertical="center"/>
      <protection/>
    </xf>
    <xf numFmtId="4" fontId="10" fillId="0" borderId="58" xfId="63" applyNumberFormat="1" applyFont="1" applyBorder="1" applyAlignment="1">
      <alignment vertical="center"/>
    </xf>
    <xf numFmtId="4" fontId="0" fillId="0" borderId="58" xfId="63" applyNumberFormat="1" applyFont="1" applyBorder="1" applyAlignment="1">
      <alignment vertical="center"/>
    </xf>
    <xf numFmtId="4" fontId="0" fillId="0" borderId="59" xfId="63" applyNumberFormat="1" applyFont="1" applyFill="1" applyBorder="1" applyAlignment="1">
      <alignment vertical="center"/>
    </xf>
    <xf numFmtId="4" fontId="10" fillId="0" borderId="74" xfId="62" applyNumberFormat="1" applyFont="1" applyBorder="1" applyAlignment="1">
      <alignment horizontal="left" vertical="center"/>
      <protection/>
    </xf>
    <xf numFmtId="4" fontId="10" fillId="0" borderId="75" xfId="62" applyNumberFormat="1" applyFont="1" applyBorder="1" applyAlignment="1">
      <alignment vertical="center"/>
      <protection/>
    </xf>
    <xf numFmtId="4" fontId="10" fillId="0" borderId="0" xfId="63" applyNumberFormat="1" applyFont="1" applyBorder="1" applyAlignment="1">
      <alignment horizontal="right" vertical="center"/>
    </xf>
    <xf numFmtId="4" fontId="0" fillId="0" borderId="15" xfId="62" applyNumberFormat="1" applyBorder="1" applyAlignment="1">
      <alignment vertical="center"/>
      <protection/>
    </xf>
    <xf numFmtId="4" fontId="1" fillId="0" borderId="0" xfId="63" applyNumberFormat="1" applyFont="1" applyBorder="1" applyAlignment="1">
      <alignment horizontal="center" vertical="center"/>
    </xf>
    <xf numFmtId="4" fontId="27" fillId="0" borderId="0" xfId="62" applyNumberFormat="1" applyFont="1" applyBorder="1" applyAlignment="1">
      <alignment horizontal="center" vertical="center"/>
      <protection/>
    </xf>
    <xf numFmtId="4" fontId="10" fillId="0" borderId="0" xfId="0" applyNumberFormat="1" applyFont="1" applyAlignment="1">
      <alignment horizontal="left" vertical="center" wrapText="1"/>
    </xf>
    <xf numFmtId="4" fontId="10" fillId="0" borderId="17" xfId="0" applyNumberFormat="1" applyFont="1" applyBorder="1" applyAlignment="1">
      <alignment horizontal="left" vertical="center" wrapText="1"/>
    </xf>
    <xf numFmtId="4" fontId="10" fillId="0" borderId="0" xfId="59" applyNumberFormat="1" applyFont="1" applyAlignment="1">
      <alignment vertical="center"/>
      <protection/>
    </xf>
    <xf numFmtId="4" fontId="11" fillId="0" borderId="0" xfId="59" applyNumberFormat="1" applyFont="1" applyFill="1" applyBorder="1" applyAlignment="1">
      <alignment vertical="center"/>
      <protection/>
    </xf>
    <xf numFmtId="4" fontId="11" fillId="33" borderId="10" xfId="59" applyNumberFormat="1" applyFont="1" applyFill="1" applyBorder="1" applyAlignment="1">
      <alignment vertical="center"/>
      <protection/>
    </xf>
    <xf numFmtId="4" fontId="11" fillId="33" borderId="11" xfId="59" applyNumberFormat="1" applyFont="1" applyFill="1" applyBorder="1" applyAlignment="1">
      <alignment vertical="center"/>
      <protection/>
    </xf>
    <xf numFmtId="4" fontId="11" fillId="33" borderId="12" xfId="59" applyNumberFormat="1" applyFont="1" applyFill="1" applyBorder="1" applyAlignment="1">
      <alignment vertical="center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4" fontId="11" fillId="33" borderId="0" xfId="59" applyNumberFormat="1" applyFont="1" applyFill="1" applyBorder="1" applyAlignment="1">
      <alignment horizontal="center" vertical="center"/>
      <protection/>
    </xf>
    <xf numFmtId="183" fontId="11" fillId="0" borderId="0" xfId="59" applyNumberFormat="1" applyFont="1" applyFill="1" applyBorder="1" applyAlignment="1">
      <alignment horizontal="center" vertical="center"/>
      <protection/>
    </xf>
    <xf numFmtId="4" fontId="9" fillId="33" borderId="0" xfId="59" applyNumberFormat="1" applyFont="1" applyFill="1" applyBorder="1" applyAlignment="1">
      <alignment horizontal="center" vertical="center"/>
      <protection/>
    </xf>
    <xf numFmtId="183" fontId="11" fillId="33" borderId="0" xfId="59" applyNumberFormat="1" applyFont="1" applyFill="1" applyBorder="1" applyAlignment="1">
      <alignment horizontal="center" vertical="center"/>
      <protection/>
    </xf>
    <xf numFmtId="183" fontId="11" fillId="33" borderId="17" xfId="59" applyNumberFormat="1" applyFont="1" applyFill="1" applyBorder="1" applyAlignment="1">
      <alignment horizontal="center" vertical="center"/>
      <protection/>
    </xf>
    <xf numFmtId="4" fontId="10" fillId="0" borderId="10" xfId="59" applyNumberFormat="1" applyFont="1" applyBorder="1" applyAlignment="1">
      <alignment vertical="center"/>
      <protection/>
    </xf>
    <xf numFmtId="4" fontId="10" fillId="0" borderId="11" xfId="59" applyNumberFormat="1" applyFont="1" applyBorder="1" applyAlignment="1">
      <alignment vertical="center"/>
      <protection/>
    </xf>
    <xf numFmtId="4" fontId="10" fillId="0" borderId="12" xfId="59" applyNumberFormat="1" applyFont="1" applyBorder="1" applyAlignment="1">
      <alignment vertical="center"/>
      <protection/>
    </xf>
    <xf numFmtId="4" fontId="10" fillId="0" borderId="13" xfId="59" applyNumberFormat="1" applyFont="1" applyBorder="1" applyAlignment="1">
      <alignment vertical="center"/>
      <protection/>
    </xf>
    <xf numFmtId="4" fontId="10" fillId="0" borderId="17" xfId="59" applyNumberFormat="1" applyFont="1" applyBorder="1" applyAlignment="1">
      <alignment vertical="center"/>
      <protection/>
    </xf>
    <xf numFmtId="4" fontId="10" fillId="0" borderId="0" xfId="59" applyNumberFormat="1" applyFont="1" applyBorder="1" applyAlignment="1">
      <alignment vertical="center"/>
      <protection/>
    </xf>
    <xf numFmtId="4" fontId="9" fillId="0" borderId="0" xfId="59" applyNumberFormat="1" applyFont="1" applyBorder="1" applyAlignment="1">
      <alignment vertical="center"/>
      <protection/>
    </xf>
    <xf numFmtId="4" fontId="10" fillId="0" borderId="14" xfId="59" applyNumberFormat="1" applyFont="1" applyBorder="1" applyAlignment="1">
      <alignment vertical="center"/>
      <protection/>
    </xf>
    <xf numFmtId="4" fontId="10" fillId="0" borderId="15" xfId="59" applyNumberFormat="1" applyFont="1" applyBorder="1" applyAlignment="1">
      <alignment vertical="center"/>
      <protection/>
    </xf>
    <xf numFmtId="4" fontId="10" fillId="0" borderId="16" xfId="59" applyNumberFormat="1" applyFont="1" applyBorder="1" applyAlignment="1">
      <alignment vertical="center"/>
      <protection/>
    </xf>
    <xf numFmtId="4" fontId="22" fillId="33" borderId="13" xfId="57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horizontal="center" vertical="center"/>
    </xf>
    <xf numFmtId="4" fontId="22" fillId="33" borderId="0" xfId="57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4" fontId="10" fillId="0" borderId="76" xfId="0" applyNumberFormat="1" applyFont="1" applyBorder="1" applyAlignment="1">
      <alignment vertical="center"/>
    </xf>
    <xf numFmtId="9" fontId="10" fillId="0" borderId="0" xfId="0" applyNumberFormat="1" applyFont="1" applyBorder="1" applyAlignment="1">
      <alignment horizontal="center" vertical="center"/>
    </xf>
    <xf numFmtId="4" fontId="10" fillId="0" borderId="77" xfId="0" applyNumberFormat="1" applyFont="1" applyBorder="1" applyAlignment="1">
      <alignment vertical="center"/>
    </xf>
    <xf numFmtId="4" fontId="10" fillId="0" borderId="74" xfId="57" applyNumberFormat="1" applyFont="1" applyBorder="1" applyAlignment="1" quotePrefix="1">
      <alignment horizontal="center" vertical="center"/>
    </xf>
    <xf numFmtId="4" fontId="10" fillId="0" borderId="78" xfId="57" applyNumberFormat="1" applyFont="1" applyBorder="1" applyAlignment="1" quotePrefix="1">
      <alignment horizontal="center" vertical="center"/>
    </xf>
    <xf numFmtId="4" fontId="10" fillId="0" borderId="75" xfId="57" applyNumberFormat="1" applyFont="1" applyBorder="1" applyAlignment="1" quotePrefix="1">
      <alignment horizontal="center" vertical="center"/>
    </xf>
    <xf numFmtId="9" fontId="10" fillId="0" borderId="74" xfId="0" applyNumberFormat="1" applyFont="1" applyBorder="1" applyAlignment="1">
      <alignment horizontal="center" vertical="center"/>
    </xf>
    <xf numFmtId="9" fontId="10" fillId="0" borderId="78" xfId="0" applyNumberFormat="1" applyFont="1" applyBorder="1" applyAlignment="1">
      <alignment horizontal="center" vertical="center"/>
    </xf>
    <xf numFmtId="9" fontId="10" fillId="0" borderId="75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 quotePrefix="1">
      <alignment horizontal="center" vertical="center"/>
    </xf>
    <xf numFmtId="4" fontId="10" fillId="0" borderId="80" xfId="0" applyNumberFormat="1" applyFont="1" applyBorder="1" applyAlignment="1" quotePrefix="1">
      <alignment horizontal="center" vertical="center"/>
    </xf>
    <xf numFmtId="4" fontId="10" fillId="0" borderId="81" xfId="57" applyNumberFormat="1" applyFont="1" applyBorder="1" applyAlignment="1">
      <alignment vertical="center"/>
    </xf>
    <xf numFmtId="0" fontId="10" fillId="0" borderId="82" xfId="0" applyNumberFormat="1" applyFont="1" applyBorder="1" applyAlignment="1" quotePrefix="1">
      <alignment horizontal="center" vertical="center"/>
    </xf>
    <xf numFmtId="4" fontId="10" fillId="0" borderId="83" xfId="0" applyNumberFormat="1" applyFont="1" applyBorder="1" applyAlignment="1" quotePrefix="1">
      <alignment horizontal="center" vertical="center"/>
    </xf>
    <xf numFmtId="4" fontId="10" fillId="0" borderId="84" xfId="57" applyNumberFormat="1" applyFont="1" applyBorder="1" applyAlignment="1">
      <alignment vertical="center"/>
    </xf>
    <xf numFmtId="0" fontId="10" fillId="0" borderId="82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4" fontId="10" fillId="0" borderId="86" xfId="0" applyNumberFormat="1" applyFont="1" applyBorder="1" applyAlignment="1" quotePrefix="1">
      <alignment horizontal="center" vertical="center"/>
    </xf>
    <xf numFmtId="4" fontId="10" fillId="0" borderId="87" xfId="57" applyNumberFormat="1" applyFont="1" applyBorder="1" applyAlignment="1">
      <alignment vertical="center"/>
    </xf>
    <xf numFmtId="0" fontId="10" fillId="0" borderId="80" xfId="0" applyNumberFormat="1" applyFont="1" applyBorder="1" applyAlignment="1">
      <alignment horizontal="center" vertical="center"/>
    </xf>
    <xf numFmtId="4" fontId="10" fillId="0" borderId="85" xfId="0" applyNumberFormat="1" applyFont="1" applyBorder="1" applyAlignment="1">
      <alignment horizontal="center" vertical="center"/>
    </xf>
    <xf numFmtId="4" fontId="10" fillId="0" borderId="82" xfId="0" applyNumberFormat="1" applyFont="1" applyBorder="1" applyAlignment="1">
      <alignment horizontal="center" vertical="center"/>
    </xf>
    <xf numFmtId="4" fontId="10" fillId="0" borderId="79" xfId="57" applyNumberFormat="1" applyFont="1" applyBorder="1" applyAlignment="1" quotePrefix="1">
      <alignment horizontal="center" vertical="center"/>
    </xf>
    <xf numFmtId="4" fontId="10" fillId="0" borderId="80" xfId="0" applyNumberFormat="1" applyFont="1" applyBorder="1" applyAlignment="1">
      <alignment vertical="center"/>
    </xf>
    <xf numFmtId="4" fontId="10" fillId="0" borderId="82" xfId="57" applyNumberFormat="1" applyFont="1" applyBorder="1" applyAlignment="1" quotePrefix="1">
      <alignment horizontal="center" vertical="center"/>
    </xf>
    <xf numFmtId="4" fontId="10" fillId="0" borderId="83" xfId="0" applyNumberFormat="1" applyFont="1" applyBorder="1" applyAlignment="1">
      <alignment vertical="center"/>
    </xf>
    <xf numFmtId="1" fontId="10" fillId="0" borderId="82" xfId="57" applyNumberFormat="1" applyFont="1" applyBorder="1" applyAlignment="1" quotePrefix="1">
      <alignment horizontal="center" vertical="center"/>
    </xf>
    <xf numFmtId="4" fontId="10" fillId="0" borderId="85" xfId="57" applyNumberFormat="1" applyFont="1" applyBorder="1" applyAlignment="1" quotePrefix="1">
      <alignment horizontal="center" vertical="center"/>
    </xf>
    <xf numFmtId="4" fontId="10" fillId="0" borderId="86" xfId="0" applyNumberFormat="1" applyFont="1" applyBorder="1" applyAlignment="1">
      <alignment vertical="center"/>
    </xf>
    <xf numFmtId="4" fontId="10" fillId="0" borderId="88" xfId="0" applyNumberFormat="1" applyFont="1" applyBorder="1" applyAlignment="1">
      <alignment horizontal="center" vertical="center"/>
    </xf>
    <xf numFmtId="4" fontId="10" fillId="0" borderId="88" xfId="0" applyNumberFormat="1" applyFont="1" applyBorder="1" applyAlignment="1">
      <alignment vertical="center"/>
    </xf>
    <xf numFmtId="4" fontId="0" fillId="0" borderId="0" xfId="57" applyNumberFormat="1" applyFont="1" applyBorder="1" applyAlignment="1">
      <alignment horizontal="right" vertical="center"/>
    </xf>
    <xf numFmtId="4" fontId="10" fillId="0" borderId="83" xfId="57" applyNumberFormat="1" applyFont="1" applyBorder="1" applyAlignment="1">
      <alignment vertical="center"/>
    </xf>
    <xf numFmtId="4" fontId="10" fillId="0" borderId="86" xfId="57" applyNumberFormat="1" applyFont="1" applyBorder="1" applyAlignment="1">
      <alignment vertical="center"/>
    </xf>
    <xf numFmtId="0" fontId="10" fillId="0" borderId="89" xfId="0" applyNumberFormat="1" applyFont="1" applyBorder="1" applyAlignment="1" quotePrefix="1">
      <alignment horizontal="center" vertical="center"/>
    </xf>
    <xf numFmtId="4" fontId="10" fillId="0" borderId="90" xfId="0" applyNumberFormat="1" applyFont="1" applyBorder="1" applyAlignment="1" quotePrefix="1">
      <alignment horizontal="center" vertical="center"/>
    </xf>
    <xf numFmtId="0" fontId="10" fillId="0" borderId="91" xfId="0" applyNumberFormat="1" applyFont="1" applyBorder="1" applyAlignment="1" quotePrefix="1">
      <alignment horizontal="center" vertical="center"/>
    </xf>
    <xf numFmtId="4" fontId="10" fillId="0" borderId="92" xfId="0" applyNumberFormat="1" applyFont="1" applyBorder="1" applyAlignment="1" quotePrefix="1">
      <alignment horizontal="center" vertical="center"/>
    </xf>
    <xf numFmtId="0" fontId="10" fillId="0" borderId="89" xfId="0" applyNumberFormat="1" applyFont="1" applyBorder="1" applyAlignment="1">
      <alignment horizontal="center" vertical="center"/>
    </xf>
    <xf numFmtId="4" fontId="10" fillId="0" borderId="0" xfId="77" applyNumberFormat="1" applyFont="1" applyFill="1" applyBorder="1" applyAlignment="1">
      <alignment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4" fontId="10" fillId="0" borderId="79" xfId="0" applyNumberFormat="1" applyFont="1" applyBorder="1" applyAlignment="1" quotePrefix="1">
      <alignment horizontal="center" vertical="center"/>
    </xf>
    <xf numFmtId="3" fontId="10" fillId="0" borderId="80" xfId="0" applyNumberFormat="1" applyFont="1" applyBorder="1" applyAlignment="1">
      <alignment vertical="center"/>
    </xf>
    <xf numFmtId="3" fontId="10" fillId="0" borderId="83" xfId="0" applyNumberFormat="1" applyFont="1" applyBorder="1" applyAlignment="1">
      <alignment vertical="center"/>
    </xf>
    <xf numFmtId="0" fontId="10" fillId="0" borderId="93" xfId="0" applyNumberFormat="1" applyFont="1" applyBorder="1" applyAlignment="1">
      <alignment horizontal="center" vertical="center"/>
    </xf>
    <xf numFmtId="4" fontId="10" fillId="0" borderId="94" xfId="0" applyNumberFormat="1" applyFont="1" applyBorder="1" applyAlignment="1">
      <alignment vertical="center"/>
    </xf>
    <xf numFmtId="3" fontId="10" fillId="0" borderId="94" xfId="0" applyNumberFormat="1" applyFont="1" applyBorder="1" applyAlignment="1">
      <alignment vertical="center"/>
    </xf>
    <xf numFmtId="0" fontId="10" fillId="0" borderId="95" xfId="0" applyNumberFormat="1" applyFont="1" applyBorder="1" applyAlignment="1">
      <alignment horizontal="center" vertical="center"/>
    </xf>
    <xf numFmtId="4" fontId="10" fillId="0" borderId="96" xfId="0" applyNumberFormat="1" applyFont="1" applyBorder="1" applyAlignment="1">
      <alignment vertical="center"/>
    </xf>
    <xf numFmtId="0" fontId="10" fillId="0" borderId="97" xfId="0" applyNumberFormat="1" applyFont="1" applyBorder="1" applyAlignment="1">
      <alignment horizontal="center" vertical="center"/>
    </xf>
    <xf numFmtId="4" fontId="10" fillId="0" borderId="98" xfId="0" applyNumberFormat="1" applyFont="1" applyBorder="1" applyAlignment="1">
      <alignment vertical="center"/>
    </xf>
    <xf numFmtId="3" fontId="10" fillId="0" borderId="98" xfId="0" applyNumberFormat="1" applyFont="1" applyBorder="1" applyAlignment="1">
      <alignment vertical="center"/>
    </xf>
    <xf numFmtId="2" fontId="10" fillId="0" borderId="0" xfId="57" applyNumberFormat="1" applyFont="1" applyBorder="1" applyAlignment="1">
      <alignment vertical="center"/>
    </xf>
    <xf numFmtId="1" fontId="10" fillId="0" borderId="0" xfId="57" applyNumberFormat="1" applyFont="1" applyBorder="1" applyAlignment="1">
      <alignment vertical="center"/>
    </xf>
    <xf numFmtId="4" fontId="10" fillId="0" borderId="93" xfId="57" applyNumberFormat="1" applyFont="1" applyBorder="1" applyAlignment="1" quotePrefix="1">
      <alignment horizontal="center" vertical="center"/>
    </xf>
    <xf numFmtId="4" fontId="10" fillId="0" borderId="99" xfId="57" applyNumberFormat="1" applyFont="1" applyBorder="1" applyAlignment="1">
      <alignment vertical="center"/>
    </xf>
    <xf numFmtId="1" fontId="10" fillId="0" borderId="97" xfId="57" applyNumberFormat="1" applyFont="1" applyBorder="1" applyAlignment="1" quotePrefix="1">
      <alignment horizontal="center" vertical="center"/>
    </xf>
    <xf numFmtId="4" fontId="10" fillId="0" borderId="100" xfId="57" applyNumberFormat="1" applyFont="1" applyBorder="1" applyAlignment="1">
      <alignment vertical="center"/>
    </xf>
    <xf numFmtId="4" fontId="10" fillId="0" borderId="97" xfId="57" applyNumberFormat="1" applyFont="1" applyBorder="1" applyAlignment="1" quotePrefix="1">
      <alignment horizontal="center" vertical="center"/>
    </xf>
    <xf numFmtId="4" fontId="10" fillId="0" borderId="82" xfId="0" applyNumberFormat="1" applyFont="1" applyBorder="1" applyAlignment="1" quotePrefix="1">
      <alignment horizontal="center" vertical="center"/>
    </xf>
    <xf numFmtId="0" fontId="10" fillId="0" borderId="83" xfId="0" applyNumberFormat="1" applyFont="1" applyBorder="1" applyAlignment="1">
      <alignment horizontal="center" vertical="center"/>
    </xf>
    <xf numFmtId="4" fontId="10" fillId="0" borderId="85" xfId="0" applyNumberFormat="1" applyFont="1" applyBorder="1" applyAlignment="1" quotePrefix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4" fontId="10" fillId="0" borderId="86" xfId="0" applyNumberFormat="1" applyFont="1" applyBorder="1" applyAlignment="1">
      <alignment horizontal="center" vertical="center"/>
    </xf>
    <xf numFmtId="4" fontId="10" fillId="0" borderId="83" xfId="0" applyNumberFormat="1" applyFont="1" applyBorder="1" applyAlignment="1">
      <alignment horizontal="center" vertical="center"/>
    </xf>
    <xf numFmtId="4" fontId="10" fillId="0" borderId="94" xfId="0" applyNumberFormat="1" applyFont="1" applyBorder="1" applyAlignment="1" quotePrefix="1">
      <alignment horizontal="center" vertical="center"/>
    </xf>
    <xf numFmtId="4" fontId="10" fillId="0" borderId="98" xfId="0" applyNumberFormat="1" applyFont="1" applyBorder="1" applyAlignment="1" quotePrefix="1">
      <alignment horizontal="center" vertical="center"/>
    </xf>
    <xf numFmtId="0" fontId="10" fillId="0" borderId="93" xfId="0" applyNumberFormat="1" applyFont="1" applyBorder="1" applyAlignment="1" quotePrefix="1">
      <alignment horizontal="center" vertical="center"/>
    </xf>
    <xf numFmtId="4" fontId="10" fillId="0" borderId="94" xfId="0" applyNumberFormat="1" applyFont="1" applyBorder="1" applyAlignment="1">
      <alignment horizontal="center" vertical="center"/>
    </xf>
    <xf numFmtId="0" fontId="10" fillId="0" borderId="97" xfId="0" applyNumberFormat="1" applyFont="1" applyBorder="1" applyAlignment="1" quotePrefix="1">
      <alignment horizontal="center" vertical="center"/>
    </xf>
    <xf numFmtId="4" fontId="10" fillId="0" borderId="98" xfId="0" applyNumberFormat="1" applyFont="1" applyBorder="1" applyAlignment="1">
      <alignment horizontal="center" vertical="center"/>
    </xf>
    <xf numFmtId="4" fontId="10" fillId="0" borderId="90" xfId="0" applyNumberFormat="1" applyFont="1" applyBorder="1" applyAlignment="1">
      <alignment vertical="center"/>
    </xf>
    <xf numFmtId="4" fontId="10" fillId="0" borderId="89" xfId="57" applyNumberFormat="1" applyFont="1" applyBorder="1" applyAlignment="1" quotePrefix="1">
      <alignment horizontal="center" vertical="center"/>
    </xf>
    <xf numFmtId="4" fontId="10" fillId="0" borderId="101" xfId="57" applyNumberFormat="1" applyFont="1" applyBorder="1" applyAlignment="1" quotePrefix="1">
      <alignment horizontal="center" vertical="center"/>
    </xf>
    <xf numFmtId="4" fontId="10" fillId="0" borderId="102" xfId="0" applyNumberFormat="1" applyFont="1" applyBorder="1" applyAlignment="1">
      <alignment vertical="center"/>
    </xf>
    <xf numFmtId="4" fontId="10" fillId="0" borderId="91" xfId="57" applyNumberFormat="1" applyFont="1" applyBorder="1" applyAlignment="1" quotePrefix="1">
      <alignment horizontal="center" vertical="center"/>
    </xf>
    <xf numFmtId="4" fontId="10" fillId="0" borderId="92" xfId="0" applyNumberFormat="1" applyFont="1" applyBorder="1" applyAlignment="1">
      <alignment vertical="center"/>
    </xf>
    <xf numFmtId="4" fontId="16" fillId="0" borderId="79" xfId="0" applyNumberFormat="1" applyFont="1" applyBorder="1" applyAlignment="1">
      <alignment vertical="center"/>
    </xf>
    <xf numFmtId="4" fontId="17" fillId="0" borderId="80" xfId="0" applyNumberFormat="1" applyFont="1" applyBorder="1" applyAlignment="1">
      <alignment vertical="center"/>
    </xf>
    <xf numFmtId="4" fontId="17" fillId="0" borderId="81" xfId="0" applyNumberFormat="1" applyFont="1" applyBorder="1" applyAlignment="1">
      <alignment vertical="center"/>
    </xf>
    <xf numFmtId="4" fontId="17" fillId="0" borderId="82" xfId="0" applyNumberFormat="1" applyFont="1" applyBorder="1" applyAlignment="1">
      <alignment vertical="center"/>
    </xf>
    <xf numFmtId="4" fontId="17" fillId="0" borderId="83" xfId="0" applyNumberFormat="1" applyFont="1" applyBorder="1" applyAlignment="1">
      <alignment vertical="center"/>
    </xf>
    <xf numFmtId="4" fontId="17" fillId="0" borderId="84" xfId="0" applyNumberFormat="1" applyFont="1" applyBorder="1" applyAlignment="1">
      <alignment vertical="center"/>
    </xf>
    <xf numFmtId="4" fontId="17" fillId="0" borderId="85" xfId="0" applyNumberFormat="1" applyFont="1" applyBorder="1" applyAlignment="1">
      <alignment vertical="center"/>
    </xf>
    <xf numFmtId="4" fontId="17" fillId="0" borderId="86" xfId="0" applyNumberFormat="1" applyFont="1" applyBorder="1" applyAlignment="1">
      <alignment vertical="center"/>
    </xf>
    <xf numFmtId="4" fontId="17" fillId="0" borderId="87" xfId="0" applyNumberFormat="1" applyFont="1" applyBorder="1" applyAlignment="1">
      <alignment vertical="center"/>
    </xf>
    <xf numFmtId="9" fontId="10" fillId="0" borderId="0" xfId="0" applyNumberFormat="1" applyFont="1" applyBorder="1" applyAlignment="1">
      <alignment vertical="center"/>
    </xf>
    <xf numFmtId="4" fontId="10" fillId="0" borderId="95" xfId="57" applyNumberFormat="1" applyFont="1" applyBorder="1" applyAlignment="1" quotePrefix="1">
      <alignment horizontal="center" vertical="center"/>
    </xf>
    <xf numFmtId="9" fontId="10" fillId="0" borderId="102" xfId="0" applyNumberFormat="1" applyFont="1" applyBorder="1" applyAlignment="1">
      <alignment vertical="center"/>
    </xf>
    <xf numFmtId="4" fontId="10" fillId="0" borderId="80" xfId="0" applyNumberFormat="1" applyFont="1" applyBorder="1" applyAlignment="1">
      <alignment horizontal="center" vertical="center"/>
    </xf>
    <xf numFmtId="4" fontId="10" fillId="0" borderId="83" xfId="0" applyNumberFormat="1" applyFont="1" applyBorder="1" applyAlignment="1">
      <alignment horizontal="left" vertical="center"/>
    </xf>
    <xf numFmtId="4" fontId="10" fillId="0" borderId="79" xfId="59" applyNumberFormat="1" applyFont="1" applyBorder="1" applyAlignment="1" quotePrefix="1">
      <alignment horizontal="center" vertical="center"/>
      <protection/>
    </xf>
    <xf numFmtId="4" fontId="10" fillId="0" borderId="80" xfId="59" applyNumberFormat="1" applyFont="1" applyBorder="1" applyAlignment="1">
      <alignment horizontal="center" vertical="center"/>
      <protection/>
    </xf>
    <xf numFmtId="4" fontId="10" fillId="0" borderId="82" xfId="59" applyNumberFormat="1" applyFont="1" applyBorder="1" applyAlignment="1" quotePrefix="1">
      <alignment horizontal="center" vertical="center"/>
      <protection/>
    </xf>
    <xf numFmtId="4" fontId="10" fillId="0" borderId="83" xfId="59" applyNumberFormat="1" applyFont="1" applyBorder="1" applyAlignment="1">
      <alignment horizontal="center" vertical="center"/>
      <protection/>
    </xf>
    <xf numFmtId="4" fontId="10" fillId="0" borderId="85" xfId="59" applyNumberFormat="1" applyFont="1" applyBorder="1" applyAlignment="1" quotePrefix="1">
      <alignment horizontal="center" vertical="center"/>
      <protection/>
    </xf>
    <xf numFmtId="4" fontId="10" fillId="0" borderId="86" xfId="59" applyNumberFormat="1" applyFont="1" applyBorder="1" applyAlignment="1">
      <alignment horizontal="center" vertical="center"/>
      <protection/>
    </xf>
    <xf numFmtId="4" fontId="10" fillId="0" borderId="79" xfId="57" applyNumberFormat="1" applyFont="1" applyBorder="1" applyAlignment="1">
      <alignment horizontal="center" vertical="center"/>
    </xf>
    <xf numFmtId="4" fontId="10" fillId="0" borderId="80" xfId="57" applyNumberFormat="1" applyFont="1" applyBorder="1" applyAlignment="1">
      <alignment horizontal="center" vertical="center"/>
    </xf>
    <xf numFmtId="4" fontId="10" fillId="0" borderId="85" xfId="57" applyNumberFormat="1" applyFont="1" applyBorder="1" applyAlignment="1">
      <alignment horizontal="center" vertical="center"/>
    </xf>
    <xf numFmtId="4" fontId="10" fillId="0" borderId="86" xfId="57" applyNumberFormat="1" applyFont="1" applyBorder="1" applyAlignment="1">
      <alignment horizontal="center" vertical="center"/>
    </xf>
    <xf numFmtId="4" fontId="10" fillId="0" borderId="82" xfId="0" applyNumberFormat="1" applyFont="1" applyBorder="1" applyAlignment="1">
      <alignment vertical="center"/>
    </xf>
    <xf numFmtId="4" fontId="10" fillId="0" borderId="85" xfId="0" applyNumberFormat="1" applyFont="1" applyBorder="1" applyAlignment="1">
      <alignment vertical="center"/>
    </xf>
    <xf numFmtId="4" fontId="10" fillId="0" borderId="80" xfId="0" applyNumberFormat="1" applyFont="1" applyBorder="1" applyAlignment="1">
      <alignment horizontal="left" vertical="center"/>
    </xf>
    <xf numFmtId="4" fontId="10" fillId="0" borderId="103" xfId="0" applyNumberFormat="1" applyFont="1" applyBorder="1" applyAlignment="1" quotePrefix="1">
      <alignment horizontal="center" vertical="center"/>
    </xf>
    <xf numFmtId="4" fontId="10" fillId="0" borderId="104" xfId="0" applyNumberFormat="1" applyFont="1" applyBorder="1" applyAlignment="1">
      <alignment vertical="center"/>
    </xf>
    <xf numFmtId="1" fontId="10" fillId="0" borderId="91" xfId="57" applyNumberFormat="1" applyFont="1" applyBorder="1" applyAlignment="1" quotePrefix="1">
      <alignment horizontal="center" vertical="center"/>
    </xf>
    <xf numFmtId="4" fontId="10" fillId="0" borderId="79" xfId="59" applyNumberFormat="1" applyFont="1" applyBorder="1" applyAlignment="1">
      <alignment horizontal="center" vertical="center"/>
      <protection/>
    </xf>
    <xf numFmtId="4" fontId="10" fillId="0" borderId="85" xfId="59" applyNumberFormat="1" applyFont="1" applyBorder="1" applyAlignment="1">
      <alignment horizontal="center" vertical="center"/>
      <protection/>
    </xf>
    <xf numFmtId="4" fontId="10" fillId="0" borderId="105" xfId="57" applyNumberFormat="1" applyFont="1" applyBorder="1" applyAlignment="1">
      <alignment vertical="center"/>
    </xf>
    <xf numFmtId="4" fontId="10" fillId="0" borderId="80" xfId="57" applyNumberFormat="1" applyFont="1" applyBorder="1" applyAlignment="1" quotePrefix="1">
      <alignment horizontal="center" vertical="center"/>
    </xf>
    <xf numFmtId="0" fontId="10" fillId="0" borderId="80" xfId="57" applyNumberFormat="1" applyFont="1" applyBorder="1" applyAlignment="1">
      <alignment horizontal="center" vertical="center"/>
    </xf>
    <xf numFmtId="4" fontId="10" fillId="0" borderId="83" xfId="57" applyNumberFormat="1" applyFont="1" applyBorder="1" applyAlignment="1">
      <alignment horizontal="center" vertical="center"/>
    </xf>
    <xf numFmtId="4" fontId="10" fillId="0" borderId="83" xfId="57" applyNumberFormat="1" applyFont="1" applyBorder="1" applyAlignment="1" quotePrefix="1">
      <alignment horizontal="center" vertical="center"/>
    </xf>
    <xf numFmtId="0" fontId="10" fillId="0" borderId="83" xfId="57" applyNumberFormat="1" applyFont="1" applyBorder="1" applyAlignment="1">
      <alignment horizontal="center" vertical="center"/>
    </xf>
    <xf numFmtId="4" fontId="10" fillId="0" borderId="86" xfId="57" applyNumberFormat="1" applyFont="1" applyBorder="1" applyAlignment="1" quotePrefix="1">
      <alignment horizontal="center" vertical="center"/>
    </xf>
    <xf numFmtId="0" fontId="10" fillId="0" borderId="86" xfId="57" applyNumberFormat="1" applyFont="1" applyBorder="1" applyAlignment="1">
      <alignment horizontal="center" vertical="center"/>
    </xf>
    <xf numFmtId="4" fontId="10" fillId="0" borderId="86" xfId="0" applyNumberFormat="1" applyFont="1" applyBorder="1" applyAlignment="1">
      <alignment horizontal="left" vertical="center"/>
    </xf>
    <xf numFmtId="4" fontId="10" fillId="0" borderId="82" xfId="57" applyNumberFormat="1" applyFont="1" applyBorder="1" applyAlignment="1">
      <alignment horizontal="center" vertical="center"/>
    </xf>
    <xf numFmtId="4" fontId="10" fillId="0" borderId="106" xfId="57" applyNumberFormat="1" applyFont="1" applyBorder="1" applyAlignment="1">
      <alignment horizontal="center" vertical="center"/>
    </xf>
    <xf numFmtId="1" fontId="10" fillId="0" borderId="79" xfId="57" applyNumberFormat="1" applyFont="1" applyBorder="1" applyAlignment="1" quotePrefix="1">
      <alignment horizontal="center" vertical="center"/>
    </xf>
    <xf numFmtId="4" fontId="10" fillId="0" borderId="81" xfId="57" applyNumberFormat="1" applyFont="1" applyBorder="1" applyAlignment="1">
      <alignment horizontal="center" vertical="center"/>
    </xf>
    <xf numFmtId="4" fontId="10" fillId="0" borderId="84" xfId="57" applyNumberFormat="1" applyFont="1" applyBorder="1" applyAlignment="1">
      <alignment horizontal="center" vertical="center"/>
    </xf>
    <xf numFmtId="1" fontId="10" fillId="0" borderId="85" xfId="57" applyNumberFormat="1" applyFont="1" applyBorder="1" applyAlignment="1" quotePrefix="1">
      <alignment horizontal="center" vertical="center"/>
    </xf>
    <xf numFmtId="4" fontId="10" fillId="0" borderId="87" xfId="57" applyNumberFormat="1" applyFont="1" applyBorder="1" applyAlignment="1">
      <alignment horizontal="center" vertical="center"/>
    </xf>
    <xf numFmtId="1" fontId="10" fillId="0" borderId="79" xfId="57" applyNumberFormat="1" applyFont="1" applyBorder="1" applyAlignment="1">
      <alignment horizontal="center" vertical="center"/>
    </xf>
    <xf numFmtId="1" fontId="10" fillId="0" borderId="82" xfId="57" applyNumberFormat="1" applyFont="1" applyBorder="1" applyAlignment="1">
      <alignment horizontal="center" vertical="center"/>
    </xf>
    <xf numFmtId="1" fontId="10" fillId="0" borderId="85" xfId="57" applyNumberFormat="1" applyFont="1" applyBorder="1" applyAlignment="1">
      <alignment horizontal="center" vertical="center"/>
    </xf>
    <xf numFmtId="3" fontId="10" fillId="0" borderId="79" xfId="57" applyNumberFormat="1" applyFont="1" applyBorder="1" applyAlignment="1">
      <alignment horizontal="center" vertical="center"/>
    </xf>
    <xf numFmtId="3" fontId="10" fillId="0" borderId="82" xfId="57" applyNumberFormat="1" applyFont="1" applyBorder="1" applyAlignment="1">
      <alignment horizontal="center" vertical="center"/>
    </xf>
    <xf numFmtId="3" fontId="10" fillId="0" borderId="85" xfId="57" applyNumberFormat="1" applyFont="1" applyBorder="1" applyAlignment="1">
      <alignment horizontal="center" vertical="center"/>
    </xf>
    <xf numFmtId="4" fontId="24" fillId="0" borderId="17" xfId="57" applyNumberFormat="1" applyFont="1" applyBorder="1" applyAlignment="1">
      <alignment horizontal="center" vertical="center" wrapText="1"/>
    </xf>
    <xf numFmtId="4" fontId="24" fillId="0" borderId="0" xfId="57" applyNumberFormat="1" applyFont="1" applyBorder="1" applyAlignment="1">
      <alignment horizontal="left" vertical="center"/>
    </xf>
    <xf numFmtId="4" fontId="24" fillId="0" borderId="17" xfId="57" applyNumberFormat="1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57" applyNumberFormat="1" applyFont="1" applyBorder="1" applyAlignment="1">
      <alignment horizontal="left" vertical="center" wrapText="1"/>
    </xf>
    <xf numFmtId="4" fontId="24" fillId="0" borderId="15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center" vertical="center"/>
    </xf>
    <xf numFmtId="3" fontId="10" fillId="0" borderId="82" xfId="57" applyNumberFormat="1" applyFont="1" applyBorder="1" applyAlignment="1" quotePrefix="1">
      <alignment horizontal="center" vertical="center"/>
    </xf>
    <xf numFmtId="3" fontId="10" fillId="0" borderId="46" xfId="57" applyNumberFormat="1" applyFont="1" applyBorder="1" applyAlignment="1">
      <alignment horizontal="center" vertical="center"/>
    </xf>
    <xf numFmtId="3" fontId="10" fillId="0" borderId="85" xfId="57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 quotePrefix="1">
      <alignment vertical="center"/>
    </xf>
    <xf numFmtId="4" fontId="10" fillId="0" borderId="15" xfId="0" applyNumberFormat="1" applyFont="1" applyBorder="1" applyAlignment="1" quotePrefix="1">
      <alignment horizontal="left" vertical="center" wrapText="1"/>
    </xf>
    <xf numFmtId="4" fontId="10" fillId="0" borderId="16" xfId="0" applyNumberFormat="1" applyFont="1" applyBorder="1" applyAlignment="1">
      <alignment horizontal="left" vertical="center" wrapText="1"/>
    </xf>
    <xf numFmtId="4" fontId="22" fillId="33" borderId="15" xfId="57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0" fontId="10" fillId="0" borderId="0" xfId="64" applyFont="1" applyAlignment="1">
      <alignment vertical="center"/>
      <protection/>
    </xf>
    <xf numFmtId="4" fontId="10" fillId="0" borderId="0" xfId="64" applyNumberFormat="1" applyFont="1" applyBorder="1" applyAlignment="1">
      <alignment vertical="center"/>
      <protection/>
    </xf>
    <xf numFmtId="4" fontId="0" fillId="0" borderId="0" xfId="64" applyNumberFormat="1" applyBorder="1" applyAlignment="1">
      <alignment vertical="center"/>
      <protection/>
    </xf>
    <xf numFmtId="4" fontId="9" fillId="0" borderId="0" xfId="64" applyNumberFormat="1" applyFont="1" applyBorder="1" applyAlignment="1">
      <alignment horizontal="center" vertical="center"/>
      <protection/>
    </xf>
    <xf numFmtId="4" fontId="0" fillId="39" borderId="10" xfId="64" applyNumberFormat="1" applyFont="1" applyFill="1" applyBorder="1" applyAlignment="1">
      <alignment vertical="center"/>
      <protection/>
    </xf>
    <xf numFmtId="4" fontId="0" fillId="39" borderId="11" xfId="64" applyNumberFormat="1" applyFont="1" applyFill="1" applyBorder="1" applyAlignment="1">
      <alignment vertical="center"/>
      <protection/>
    </xf>
    <xf numFmtId="4" fontId="0" fillId="39" borderId="12" xfId="64" applyNumberFormat="1" applyFont="1" applyFill="1" applyBorder="1" applyAlignment="1">
      <alignment vertical="center"/>
      <protection/>
    </xf>
    <xf numFmtId="4" fontId="9" fillId="39" borderId="14" xfId="64" applyNumberFormat="1" applyFont="1" applyFill="1" applyBorder="1" applyAlignment="1">
      <alignment horizontal="center" vertical="center"/>
      <protection/>
    </xf>
    <xf numFmtId="4" fontId="9" fillId="39" borderId="15" xfId="64" applyNumberFormat="1" applyFont="1" applyFill="1" applyBorder="1" applyAlignment="1">
      <alignment horizontal="center" vertical="center"/>
      <protection/>
    </xf>
    <xf numFmtId="4" fontId="1" fillId="39" borderId="15" xfId="64" applyNumberFormat="1" applyFont="1" applyFill="1" applyBorder="1" applyAlignment="1">
      <alignment horizontal="center" vertical="center"/>
      <protection/>
    </xf>
    <xf numFmtId="4" fontId="0" fillId="39" borderId="16" xfId="64" applyNumberFormat="1" applyFont="1" applyFill="1" applyBorder="1" applyAlignment="1">
      <alignment vertical="center"/>
      <protection/>
    </xf>
    <xf numFmtId="4" fontId="0" fillId="0" borderId="10" xfId="64" applyNumberFormat="1" applyFont="1" applyBorder="1" applyAlignment="1">
      <alignment vertical="center"/>
      <protection/>
    </xf>
    <xf numFmtId="4" fontId="0" fillId="0" borderId="11" xfId="64" applyNumberFormat="1" applyBorder="1" applyAlignment="1">
      <alignment vertical="center"/>
      <protection/>
    </xf>
    <xf numFmtId="4" fontId="0" fillId="0" borderId="12" xfId="64" applyNumberFormat="1" applyFont="1" applyBorder="1" applyAlignment="1">
      <alignment vertical="center"/>
      <protection/>
    </xf>
    <xf numFmtId="4" fontId="0" fillId="0" borderId="13" xfId="64" applyNumberFormat="1" applyFont="1" applyBorder="1" applyAlignment="1">
      <alignment vertical="center"/>
      <protection/>
    </xf>
    <xf numFmtId="4" fontId="0" fillId="0" borderId="17" xfId="64" applyNumberFormat="1" applyFont="1" applyBorder="1" applyAlignment="1">
      <alignment vertical="center"/>
      <protection/>
    </xf>
    <xf numFmtId="4" fontId="9" fillId="0" borderId="0" xfId="64" applyNumberFormat="1" applyFont="1" applyFill="1" applyBorder="1" applyAlignment="1">
      <alignment horizontal="center" vertical="center"/>
      <protection/>
    </xf>
    <xf numFmtId="4" fontId="1" fillId="0" borderId="0" xfId="64" applyNumberFormat="1" applyFont="1" applyBorder="1" applyAlignment="1">
      <alignment horizontal="right" vertical="center"/>
      <protection/>
    </xf>
    <xf numFmtId="49" fontId="12" fillId="0" borderId="24" xfId="64" applyNumberFormat="1" applyFont="1" applyBorder="1" applyAlignment="1">
      <alignment horizontal="center" vertical="center"/>
      <protection/>
    </xf>
    <xf numFmtId="182" fontId="12" fillId="0" borderId="25" xfId="64" applyNumberFormat="1" applyFont="1" applyBorder="1" applyAlignment="1">
      <alignment vertical="center"/>
      <protection/>
    </xf>
    <xf numFmtId="4" fontId="0" fillId="0" borderId="0" xfId="64" applyNumberFormat="1" applyFont="1" applyBorder="1" applyAlignment="1">
      <alignment vertical="center"/>
      <protection/>
    </xf>
    <xf numFmtId="49" fontId="13" fillId="0" borderId="26" xfId="64" applyNumberFormat="1" applyFont="1" applyBorder="1" applyAlignment="1">
      <alignment horizontal="center" vertical="center"/>
      <protection/>
    </xf>
    <xf numFmtId="4" fontId="13" fillId="0" borderId="27" xfId="64" applyNumberFormat="1" applyFont="1" applyBorder="1" applyAlignment="1">
      <alignment horizontal="right" vertical="center"/>
      <protection/>
    </xf>
    <xf numFmtId="0" fontId="10" fillId="0" borderId="107" xfId="64" applyNumberFormat="1" applyFont="1" applyBorder="1" applyAlignment="1" quotePrefix="1">
      <alignment horizontal="center" vertical="center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08" xfId="64" applyNumberFormat="1" applyFont="1" applyBorder="1" applyAlignment="1">
      <alignment horizontal="center" vertical="center"/>
      <protection/>
    </xf>
    <xf numFmtId="0" fontId="10" fillId="0" borderId="80" xfId="64" applyNumberFormat="1" applyFont="1" applyBorder="1" applyAlignment="1">
      <alignment horizontal="center" vertical="center"/>
      <protection/>
    </xf>
    <xf numFmtId="49" fontId="13" fillId="0" borderId="28" xfId="64" applyNumberFormat="1" applyFont="1" applyBorder="1" applyAlignment="1">
      <alignment horizontal="center" vertical="center"/>
      <protection/>
    </xf>
    <xf numFmtId="0" fontId="10" fillId="0" borderId="109" xfId="64" applyNumberFormat="1" applyFont="1" applyBorder="1" applyAlignment="1" quotePrefix="1">
      <alignment horizontal="center" vertical="center"/>
      <protection/>
    </xf>
    <xf numFmtId="4" fontId="10" fillId="0" borderId="0" xfId="64" applyNumberFormat="1" applyFont="1" applyBorder="1" applyAlignment="1">
      <alignment horizontal="center" vertical="center"/>
      <protection/>
    </xf>
    <xf numFmtId="4" fontId="10" fillId="0" borderId="110" xfId="64" applyNumberFormat="1" applyFont="1" applyBorder="1" applyAlignment="1">
      <alignment horizontal="center" vertical="center"/>
      <protection/>
    </xf>
    <xf numFmtId="0" fontId="10" fillId="0" borderId="92" xfId="64" applyNumberFormat="1" applyFont="1" applyBorder="1" applyAlignment="1">
      <alignment horizontal="center" vertical="center"/>
      <protection/>
    </xf>
    <xf numFmtId="0" fontId="10" fillId="0" borderId="98" xfId="64" applyNumberFormat="1" applyFont="1" applyBorder="1" applyAlignment="1">
      <alignment horizontal="center" vertical="center"/>
      <protection/>
    </xf>
    <xf numFmtId="0" fontId="10" fillId="0" borderId="111" xfId="64" applyNumberFormat="1" applyFont="1" applyBorder="1" applyAlignment="1" quotePrefix="1">
      <alignment horizontal="center" vertical="center"/>
      <protection/>
    </xf>
    <xf numFmtId="4" fontId="10" fillId="0" borderId="112" xfId="64" applyNumberFormat="1" applyFont="1" applyBorder="1" applyAlignment="1">
      <alignment horizontal="center" vertical="center"/>
      <protection/>
    </xf>
    <xf numFmtId="4" fontId="10" fillId="0" borderId="113" xfId="64" applyNumberFormat="1" applyFont="1" applyBorder="1" applyAlignment="1">
      <alignment horizontal="center" vertical="center"/>
      <protection/>
    </xf>
    <xf numFmtId="0" fontId="10" fillId="0" borderId="114" xfId="64" applyNumberFormat="1" applyFont="1" applyBorder="1" applyAlignment="1" quotePrefix="1">
      <alignment horizontal="center" vertical="center"/>
      <protection/>
    </xf>
    <xf numFmtId="4" fontId="10" fillId="0" borderId="115" xfId="64" applyNumberFormat="1" applyFont="1" applyBorder="1" applyAlignment="1">
      <alignment horizontal="center" vertical="center"/>
      <protection/>
    </xf>
    <xf numFmtId="4" fontId="10" fillId="0" borderId="116" xfId="64" applyNumberFormat="1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4" fontId="0" fillId="0" borderId="0" xfId="64" applyNumberFormat="1" applyFont="1" applyFill="1" applyBorder="1" applyAlignment="1">
      <alignment vertical="center"/>
      <protection/>
    </xf>
    <xf numFmtId="4" fontId="10" fillId="0" borderId="117" xfId="64" applyNumberFormat="1" applyFont="1" applyBorder="1" applyAlignment="1">
      <alignment horizontal="center" vertical="center"/>
      <protection/>
    </xf>
    <xf numFmtId="0" fontId="10" fillId="0" borderId="118" xfId="64" applyFont="1" applyBorder="1" applyAlignment="1">
      <alignment vertical="center"/>
      <protection/>
    </xf>
    <xf numFmtId="4" fontId="10" fillId="0" borderId="112" xfId="64" applyNumberFormat="1" applyFont="1" applyBorder="1" applyAlignment="1">
      <alignment horizontal="left" vertical="center" indent="1"/>
      <protection/>
    </xf>
    <xf numFmtId="4" fontId="0" fillId="0" borderId="0" xfId="64" applyNumberFormat="1" applyFill="1" applyBorder="1" applyAlignment="1">
      <alignment vertical="center"/>
      <protection/>
    </xf>
    <xf numFmtId="49" fontId="13" fillId="0" borderId="29" xfId="64" applyNumberFormat="1" applyFont="1" applyBorder="1" applyAlignment="1">
      <alignment horizontal="center" vertical="center"/>
      <protection/>
    </xf>
    <xf numFmtId="4" fontId="13" fillId="0" borderId="31" xfId="64" applyNumberFormat="1" applyFont="1" applyBorder="1" applyAlignment="1">
      <alignment horizontal="right" vertical="center"/>
      <protection/>
    </xf>
    <xf numFmtId="0" fontId="10" fillId="0" borderId="119" xfId="64" applyNumberFormat="1" applyFont="1" applyBorder="1" applyAlignment="1" quotePrefix="1">
      <alignment horizontal="center" vertical="center"/>
      <protection/>
    </xf>
    <xf numFmtId="4" fontId="10" fillId="0" borderId="15" xfId="64" applyNumberFormat="1" applyFont="1" applyBorder="1" applyAlignment="1">
      <alignment horizontal="center" vertical="center"/>
      <protection/>
    </xf>
    <xf numFmtId="4" fontId="10" fillId="0" borderId="120" xfId="64" applyNumberFormat="1" applyFont="1" applyBorder="1" applyAlignment="1">
      <alignment horizontal="center" vertical="center"/>
      <protection/>
    </xf>
    <xf numFmtId="0" fontId="10" fillId="0" borderId="0" xfId="64" applyNumberFormat="1" applyFont="1" applyBorder="1" applyAlignment="1" quotePrefix="1">
      <alignment horizontal="center" vertical="center"/>
      <protection/>
    </xf>
    <xf numFmtId="4" fontId="10" fillId="0" borderId="0" xfId="64" applyNumberFormat="1" applyFont="1" applyBorder="1" applyAlignment="1" quotePrefix="1">
      <alignment horizontal="center" vertical="center"/>
      <protection/>
    </xf>
    <xf numFmtId="4" fontId="1" fillId="0" borderId="0" xfId="64" applyNumberFormat="1" applyFont="1" applyBorder="1" applyAlignment="1">
      <alignment horizontal="center" vertical="center"/>
      <protection/>
    </xf>
    <xf numFmtId="0" fontId="10" fillId="0" borderId="121" xfId="64" applyNumberFormat="1" applyFont="1" applyBorder="1" applyAlignment="1">
      <alignment horizontal="left" vertical="center"/>
      <protection/>
    </xf>
    <xf numFmtId="0" fontId="10" fillId="0" borderId="122" xfId="64" applyNumberFormat="1" applyFont="1" applyBorder="1" applyAlignment="1" quotePrefix="1">
      <alignment horizontal="left" vertical="center"/>
      <protection/>
    </xf>
    <xf numFmtId="0" fontId="10" fillId="0" borderId="123" xfId="64" applyNumberFormat="1" applyFont="1" applyBorder="1" applyAlignment="1" quotePrefix="1">
      <alignment horizontal="left" vertical="center"/>
      <protection/>
    </xf>
    <xf numFmtId="0" fontId="10" fillId="0" borderId="76" xfId="64" applyFont="1" applyBorder="1" applyAlignment="1">
      <alignment vertical="center"/>
      <protection/>
    </xf>
    <xf numFmtId="0" fontId="10" fillId="0" borderId="76" xfId="64" applyFont="1" applyBorder="1" applyAlignment="1">
      <alignment horizontal="left" vertical="center"/>
      <protection/>
    </xf>
    <xf numFmtId="0" fontId="10" fillId="0" borderId="124" xfId="64" applyFont="1" applyBorder="1" applyAlignment="1">
      <alignment horizontal="left" vertical="center"/>
      <protection/>
    </xf>
    <xf numFmtId="0" fontId="10" fillId="0" borderId="125" xfId="64" applyNumberFormat="1" applyFont="1" applyBorder="1" applyAlignment="1">
      <alignment horizontal="left" vertical="center"/>
      <protection/>
    </xf>
    <xf numFmtId="0" fontId="10" fillId="0" borderId="118" xfId="64" applyNumberFormat="1" applyFont="1" applyBorder="1" applyAlignment="1" quotePrefix="1">
      <alignment horizontal="left" vertical="center"/>
      <protection/>
    </xf>
    <xf numFmtId="0" fontId="10" fillId="0" borderId="126" xfId="64" applyNumberFormat="1" applyFont="1" applyBorder="1" applyAlignment="1" quotePrefix="1">
      <alignment horizontal="left" vertical="center"/>
      <protection/>
    </xf>
    <xf numFmtId="0" fontId="10" fillId="0" borderId="60" xfId="64" applyFont="1" applyBorder="1" applyAlignment="1">
      <alignment vertical="center"/>
      <protection/>
    </xf>
    <xf numFmtId="4" fontId="10" fillId="0" borderId="60" xfId="64" applyNumberFormat="1" applyFont="1" applyBorder="1" applyAlignment="1">
      <alignment horizontal="left" vertical="center"/>
      <protection/>
    </xf>
    <xf numFmtId="4" fontId="10" fillId="0" borderId="127" xfId="64" applyNumberFormat="1" applyFont="1" applyBorder="1" applyAlignment="1">
      <alignment horizontal="left" vertical="center"/>
      <protection/>
    </xf>
    <xf numFmtId="0" fontId="10" fillId="0" borderId="128" xfId="64" applyNumberFormat="1" applyFont="1" applyBorder="1" applyAlignment="1">
      <alignment horizontal="left" vertical="center"/>
      <protection/>
    </xf>
    <xf numFmtId="0" fontId="10" fillId="0" borderId="129" xfId="64" applyNumberFormat="1" applyFont="1" applyBorder="1" applyAlignment="1" quotePrefix="1">
      <alignment horizontal="left" vertical="center"/>
      <protection/>
    </xf>
    <xf numFmtId="0" fontId="10" fillId="0" borderId="130" xfId="64" applyNumberFormat="1" applyFont="1" applyBorder="1" applyAlignment="1" quotePrefix="1">
      <alignment horizontal="left" vertical="center"/>
      <protection/>
    </xf>
    <xf numFmtId="0" fontId="10" fillId="0" borderId="77" xfId="64" applyFont="1" applyBorder="1" applyAlignment="1">
      <alignment vertical="center"/>
      <protection/>
    </xf>
    <xf numFmtId="4" fontId="10" fillId="0" borderId="77" xfId="64" applyNumberFormat="1" applyFont="1" applyBorder="1" applyAlignment="1">
      <alignment horizontal="left" vertical="center"/>
      <protection/>
    </xf>
    <xf numFmtId="4" fontId="10" fillId="0" borderId="131" xfId="64" applyNumberFormat="1" applyFont="1" applyBorder="1" applyAlignment="1">
      <alignment horizontal="left" vertical="center"/>
      <protection/>
    </xf>
    <xf numFmtId="4" fontId="9" fillId="0" borderId="0" xfId="64" applyNumberFormat="1" applyFont="1" applyBorder="1" applyAlignment="1">
      <alignment horizontal="center" vertical="center" wrapText="1"/>
      <protection/>
    </xf>
    <xf numFmtId="4" fontId="0" fillId="0" borderId="14" xfId="64" applyNumberFormat="1" applyFont="1" applyBorder="1" applyAlignment="1">
      <alignment vertical="center"/>
      <protection/>
    </xf>
    <xf numFmtId="0" fontId="10" fillId="0" borderId="15" xfId="64" applyNumberFormat="1" applyFont="1" applyBorder="1" applyAlignment="1" quotePrefix="1">
      <alignment horizontal="center" vertical="center"/>
      <protection/>
    </xf>
    <xf numFmtId="4" fontId="10" fillId="0" borderId="15" xfId="64" applyNumberFormat="1" applyFont="1" applyBorder="1" applyAlignment="1" quotePrefix="1">
      <alignment horizontal="center" vertical="center"/>
      <protection/>
    </xf>
    <xf numFmtId="4" fontId="10" fillId="0" borderId="15" xfId="64" applyNumberFormat="1" applyFont="1" applyBorder="1" applyAlignment="1">
      <alignment vertical="center"/>
      <protection/>
    </xf>
    <xf numFmtId="4" fontId="0" fillId="0" borderId="15" xfId="64" applyNumberFormat="1" applyFill="1" applyBorder="1" applyAlignment="1">
      <alignment vertical="center"/>
      <protection/>
    </xf>
    <xf numFmtId="4" fontId="9" fillId="0" borderId="15" xfId="64" applyNumberFormat="1" applyFont="1" applyBorder="1" applyAlignment="1">
      <alignment horizontal="center" vertical="center" wrapText="1"/>
      <protection/>
    </xf>
    <xf numFmtId="4" fontId="0" fillId="0" borderId="16" xfId="64" applyNumberFormat="1" applyFont="1" applyBorder="1" applyAlignment="1">
      <alignment vertical="center"/>
      <protection/>
    </xf>
    <xf numFmtId="4" fontId="10" fillId="0" borderId="0" xfId="0" applyNumberFormat="1" applyFont="1" applyBorder="1" applyAlignment="1" quotePrefix="1">
      <alignment horizontal="left" vertical="center" wrapText="1"/>
    </xf>
    <xf numFmtId="4" fontId="10" fillId="0" borderId="17" xfId="0" applyNumberFormat="1" applyFont="1" applyBorder="1" applyAlignment="1" quotePrefix="1">
      <alignment horizontal="left" vertical="center" wrapText="1"/>
    </xf>
    <xf numFmtId="4" fontId="24" fillId="0" borderId="15" xfId="0" applyNumberFormat="1" applyFont="1" applyBorder="1" applyAlignment="1">
      <alignment horizontal="left" vertical="center" wrapText="1"/>
    </xf>
    <xf numFmtId="4" fontId="24" fillId="0" borderId="16" xfId="0" applyNumberFormat="1" applyFont="1" applyBorder="1" applyAlignment="1">
      <alignment horizontal="left" vertical="center" wrapText="1"/>
    </xf>
    <xf numFmtId="4" fontId="10" fillId="0" borderId="11" xfId="61" applyNumberFormat="1" applyFont="1" applyBorder="1" applyAlignment="1">
      <alignment vertical="center"/>
      <protection/>
    </xf>
    <xf numFmtId="4" fontId="10" fillId="35" borderId="0" xfId="61" applyNumberFormat="1" applyFont="1" applyFill="1" applyBorder="1" applyAlignment="1">
      <alignment vertical="center"/>
      <protection/>
    </xf>
    <xf numFmtId="4" fontId="10" fillId="0" borderId="0" xfId="61" applyNumberFormat="1" applyFont="1" applyAlignment="1">
      <alignment vertical="center"/>
      <protection/>
    </xf>
    <xf numFmtId="4" fontId="10" fillId="0" borderId="11" xfId="61" applyNumberFormat="1" applyFont="1" applyBorder="1" applyAlignment="1">
      <alignment horizontal="center" vertical="center"/>
      <protection/>
    </xf>
    <xf numFmtId="4" fontId="10" fillId="0" borderId="11" xfId="61" applyNumberFormat="1" applyFont="1" applyBorder="1" applyAlignment="1">
      <alignment vertical="center" wrapText="1"/>
      <protection/>
    </xf>
    <xf numFmtId="0" fontId="10" fillId="0" borderId="11" xfId="61" applyNumberFormat="1" applyFont="1" applyBorder="1" applyAlignment="1">
      <alignment horizontal="center" vertical="center"/>
      <protection/>
    </xf>
    <xf numFmtId="3" fontId="10" fillId="0" borderId="11" xfId="61" applyNumberFormat="1" applyFont="1" applyBorder="1" applyAlignment="1">
      <alignment horizontal="center" vertical="center"/>
      <protection/>
    </xf>
    <xf numFmtId="4" fontId="10" fillId="0" borderId="11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1" fillId="33" borderId="10" xfId="60" applyNumberFormat="1" applyFont="1" applyFill="1" applyBorder="1" applyAlignment="1">
      <alignment vertical="center"/>
    </xf>
    <xf numFmtId="4" fontId="11" fillId="33" borderId="11" xfId="60" applyNumberFormat="1" applyFont="1" applyFill="1" applyBorder="1" applyAlignment="1">
      <alignment horizontal="center" vertical="center"/>
    </xf>
    <xf numFmtId="4" fontId="11" fillId="33" borderId="11" xfId="60" applyNumberFormat="1" applyFont="1" applyFill="1" applyBorder="1" applyAlignment="1">
      <alignment vertical="center" wrapText="1"/>
    </xf>
    <xf numFmtId="0" fontId="11" fillId="33" borderId="11" xfId="60" applyNumberFormat="1" applyFont="1" applyFill="1" applyBorder="1" applyAlignment="1">
      <alignment horizontal="center" vertical="center"/>
    </xf>
    <xf numFmtId="4" fontId="11" fillId="33" borderId="11" xfId="60" applyNumberFormat="1" applyFont="1" applyFill="1" applyBorder="1" applyAlignment="1">
      <alignment vertical="center"/>
    </xf>
    <xf numFmtId="3" fontId="11" fillId="33" borderId="11" xfId="60" applyNumberFormat="1" applyFont="1" applyFill="1" applyBorder="1" applyAlignment="1">
      <alignment horizontal="center" vertical="center"/>
    </xf>
    <xf numFmtId="4" fontId="11" fillId="33" borderId="11" xfId="60" applyNumberFormat="1" applyFont="1" applyFill="1" applyBorder="1" applyAlignment="1">
      <alignment horizontal="right" vertical="center"/>
    </xf>
    <xf numFmtId="4" fontId="11" fillId="33" borderId="12" xfId="60" applyNumberFormat="1" applyFont="1" applyFill="1" applyBorder="1" applyAlignment="1">
      <alignment vertical="center"/>
    </xf>
    <xf numFmtId="4" fontId="9" fillId="0" borderId="0" xfId="60" applyNumberFormat="1" applyFont="1" applyBorder="1" applyAlignment="1">
      <alignment horizontal="center" vertical="center"/>
    </xf>
    <xf numFmtId="4" fontId="11" fillId="33" borderId="0" xfId="60" applyNumberFormat="1" applyFont="1" applyFill="1" applyBorder="1" applyAlignment="1">
      <alignment horizontal="right" vertical="center"/>
    </xf>
    <xf numFmtId="4" fontId="11" fillId="33" borderId="17" xfId="60" applyNumberFormat="1" applyFont="1" applyFill="1" applyBorder="1" applyAlignment="1">
      <alignment vertical="center"/>
    </xf>
    <xf numFmtId="4" fontId="11" fillId="33" borderId="15" xfId="60" applyNumberFormat="1" applyFont="1" applyFill="1" applyBorder="1" applyAlignment="1">
      <alignment vertical="center" wrapText="1"/>
    </xf>
    <xf numFmtId="4" fontId="11" fillId="33" borderId="15" xfId="60" applyNumberFormat="1" applyFont="1" applyFill="1" applyBorder="1" applyAlignment="1">
      <alignment horizontal="center" vertical="center"/>
    </xf>
    <xf numFmtId="0" fontId="11" fillId="33" borderId="15" xfId="60" applyNumberFormat="1" applyFont="1" applyFill="1" applyBorder="1" applyAlignment="1">
      <alignment horizontal="center" vertical="center"/>
    </xf>
    <xf numFmtId="4" fontId="11" fillId="33" borderId="15" xfId="60" applyNumberFormat="1" applyFont="1" applyFill="1" applyBorder="1" applyAlignment="1">
      <alignment vertical="center"/>
    </xf>
    <xf numFmtId="3" fontId="11" fillId="33" borderId="15" xfId="60" applyNumberFormat="1" applyFont="1" applyFill="1" applyBorder="1" applyAlignment="1">
      <alignment horizontal="center" vertical="center"/>
    </xf>
    <xf numFmtId="4" fontId="11" fillId="33" borderId="15" xfId="60" applyNumberFormat="1" applyFont="1" applyFill="1" applyBorder="1" applyAlignment="1">
      <alignment horizontal="right" vertical="center"/>
    </xf>
    <xf numFmtId="4" fontId="11" fillId="33" borderId="16" xfId="60" applyNumberFormat="1" applyFont="1" applyFill="1" applyBorder="1" applyAlignment="1">
      <alignment vertical="center"/>
    </xf>
    <xf numFmtId="4" fontId="10" fillId="0" borderId="13" xfId="61" applyNumberFormat="1" applyFont="1" applyBorder="1" applyAlignment="1">
      <alignment vertical="center"/>
      <protection/>
    </xf>
    <xf numFmtId="4" fontId="10" fillId="0" borderId="10" xfId="60" applyNumberFormat="1" applyFont="1" applyBorder="1" applyAlignment="1">
      <alignment vertical="center"/>
    </xf>
    <xf numFmtId="4" fontId="10" fillId="0" borderId="11" xfId="60" applyNumberFormat="1" applyFont="1" applyBorder="1" applyAlignment="1">
      <alignment horizontal="center" vertical="center"/>
    </xf>
    <xf numFmtId="49" fontId="12" fillId="0" borderId="24" xfId="61" applyNumberFormat="1" applyFont="1" applyBorder="1" applyAlignment="1">
      <alignment horizontal="center" vertical="center"/>
      <protection/>
    </xf>
    <xf numFmtId="182" fontId="12" fillId="0" borderId="25" xfId="61" applyNumberFormat="1" applyFont="1" applyBorder="1" applyAlignment="1">
      <alignment vertical="center"/>
      <protection/>
    </xf>
    <xf numFmtId="4" fontId="10" fillId="0" borderId="13" xfId="60" applyNumberFormat="1" applyFont="1" applyBorder="1" applyAlignment="1">
      <alignment vertical="center"/>
    </xf>
    <xf numFmtId="4" fontId="9" fillId="0" borderId="0" xfId="61" applyNumberFormat="1" applyFont="1" applyBorder="1" applyAlignment="1">
      <alignment horizontal="center" vertical="center"/>
      <protection/>
    </xf>
    <xf numFmtId="4" fontId="10" fillId="0" borderId="17" xfId="60" applyNumberFormat="1" applyFont="1" applyBorder="1" applyAlignment="1">
      <alignment vertical="center"/>
    </xf>
    <xf numFmtId="49" fontId="13" fillId="0" borderId="28" xfId="61" applyNumberFormat="1" applyFont="1" applyBorder="1" applyAlignment="1">
      <alignment horizontal="center" vertical="center"/>
      <protection/>
    </xf>
    <xf numFmtId="4" fontId="13" fillId="0" borderId="27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center" vertical="center"/>
      <protection/>
    </xf>
    <xf numFmtId="4" fontId="10" fillId="0" borderId="0" xfId="61" applyNumberFormat="1" applyFont="1" applyBorder="1" applyAlignment="1">
      <alignment vertical="center" wrapText="1"/>
      <protection/>
    </xf>
    <xf numFmtId="0" fontId="10" fillId="0" borderId="0" xfId="61" applyNumberFormat="1" applyFont="1" applyBorder="1" applyAlignment="1">
      <alignment horizontal="center" vertical="center"/>
      <protection/>
    </xf>
    <xf numFmtId="3" fontId="10" fillId="0" borderId="0" xfId="61" applyNumberFormat="1" applyFont="1" applyBorder="1" applyAlignment="1">
      <alignment horizontal="center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4" fontId="10" fillId="0" borderId="79" xfId="60" applyNumberFormat="1" applyFont="1" applyBorder="1" applyAlignment="1" quotePrefix="1">
      <alignment horizontal="center" vertical="center"/>
    </xf>
    <xf numFmtId="4" fontId="10" fillId="0" borderId="80" xfId="61" applyNumberFormat="1" applyFont="1" applyBorder="1" applyAlignment="1">
      <alignment horizontal="center" vertical="center"/>
      <protection/>
    </xf>
    <xf numFmtId="0" fontId="10" fillId="0" borderId="80" xfId="61" applyNumberFormat="1" applyFont="1" applyBorder="1" applyAlignment="1">
      <alignment horizontal="center" vertical="center"/>
      <protection/>
    </xf>
    <xf numFmtId="4" fontId="10" fillId="0" borderId="79" xfId="61" applyNumberFormat="1" applyFont="1" applyBorder="1" applyAlignment="1" quotePrefix="1">
      <alignment horizontal="center" vertical="center"/>
      <protection/>
    </xf>
    <xf numFmtId="4" fontId="10" fillId="40" borderId="0" xfId="60" applyNumberFormat="1" applyFont="1" applyFill="1" applyBorder="1" applyAlignment="1">
      <alignment vertical="center"/>
    </xf>
    <xf numFmtId="4" fontId="10" fillId="0" borderId="82" xfId="60" applyNumberFormat="1" applyFont="1" applyBorder="1" applyAlignment="1" quotePrefix="1">
      <alignment horizontal="center" vertical="center"/>
    </xf>
    <xf numFmtId="4" fontId="10" fillId="0" borderId="83" xfId="61" applyNumberFormat="1" applyFont="1" applyBorder="1" applyAlignment="1">
      <alignment horizontal="center" vertical="center"/>
      <protection/>
    </xf>
    <xf numFmtId="0" fontId="10" fillId="0" borderId="83" xfId="61" applyNumberFormat="1" applyFont="1" applyBorder="1" applyAlignment="1">
      <alignment horizontal="center" vertical="center"/>
      <protection/>
    </xf>
    <xf numFmtId="4" fontId="10" fillId="0" borderId="82" xfId="61" applyNumberFormat="1" applyFont="1" applyBorder="1" applyAlignment="1" quotePrefix="1">
      <alignment horizontal="center" vertical="center"/>
      <protection/>
    </xf>
    <xf numFmtId="4" fontId="10" fillId="0" borderId="91" xfId="61" applyNumberFormat="1" applyFont="1" applyBorder="1" applyAlignment="1" quotePrefix="1">
      <alignment horizontal="center" vertical="center"/>
      <protection/>
    </xf>
    <xf numFmtId="0" fontId="10" fillId="0" borderId="92" xfId="61" applyNumberFormat="1" applyFont="1" applyBorder="1" applyAlignment="1">
      <alignment horizontal="center" vertical="center"/>
      <protection/>
    </xf>
    <xf numFmtId="4" fontId="10" fillId="0" borderId="91" xfId="60" applyNumberFormat="1" applyFont="1" applyBorder="1" applyAlignment="1" quotePrefix="1">
      <alignment horizontal="center" vertical="center"/>
    </xf>
    <xf numFmtId="4" fontId="10" fillId="0" borderId="92" xfId="61" applyNumberFormat="1" applyFont="1" applyBorder="1" applyAlignment="1">
      <alignment horizontal="center" vertical="center"/>
      <protection/>
    </xf>
    <xf numFmtId="4" fontId="10" fillId="0" borderId="97" xfId="61" applyNumberFormat="1" applyFont="1" applyBorder="1" applyAlignment="1" quotePrefix="1">
      <alignment horizontal="center" vertical="center"/>
      <protection/>
    </xf>
    <xf numFmtId="0" fontId="10" fillId="0" borderId="98" xfId="61" applyNumberFormat="1" applyFont="1" applyBorder="1" applyAlignment="1">
      <alignment horizontal="center" vertical="center"/>
      <protection/>
    </xf>
    <xf numFmtId="4" fontId="10" fillId="0" borderId="97" xfId="60" applyNumberFormat="1" applyFont="1" applyBorder="1" applyAlignment="1" quotePrefix="1">
      <alignment horizontal="center" vertical="center"/>
    </xf>
    <xf numFmtId="4" fontId="10" fillId="0" borderId="98" xfId="61" applyNumberFormat="1" applyFont="1" applyBorder="1" applyAlignment="1">
      <alignment horizontal="center" vertical="center"/>
      <protection/>
    </xf>
    <xf numFmtId="4" fontId="10" fillId="0" borderId="101" xfId="60" applyNumberFormat="1" applyFont="1" applyBorder="1" applyAlignment="1" quotePrefix="1">
      <alignment horizontal="center" vertical="center"/>
    </xf>
    <xf numFmtId="4" fontId="10" fillId="0" borderId="102" xfId="61" applyNumberFormat="1" applyFont="1" applyBorder="1" applyAlignment="1">
      <alignment vertical="center" wrapText="1"/>
      <protection/>
    </xf>
    <xf numFmtId="4" fontId="10" fillId="0" borderId="102" xfId="61" applyNumberFormat="1" applyFont="1" applyBorder="1" applyAlignment="1">
      <alignment horizontal="center" vertical="center"/>
      <protection/>
    </xf>
    <xf numFmtId="0" fontId="10" fillId="0" borderId="102" xfId="61" applyNumberFormat="1" applyFont="1" applyBorder="1" applyAlignment="1">
      <alignment horizontal="center" vertical="center"/>
      <protection/>
    </xf>
    <xf numFmtId="3" fontId="10" fillId="0" borderId="132" xfId="61" applyNumberFormat="1" applyFont="1" applyBorder="1" applyAlignment="1">
      <alignment horizontal="center" vertical="center"/>
      <protection/>
    </xf>
    <xf numFmtId="4" fontId="10" fillId="0" borderId="89" xfId="61" applyNumberFormat="1" applyFont="1" applyBorder="1" applyAlignment="1" quotePrefix="1">
      <alignment horizontal="center" vertical="center"/>
      <protection/>
    </xf>
    <xf numFmtId="0" fontId="10" fillId="0" borderId="90" xfId="61" applyNumberFormat="1" applyFont="1" applyBorder="1" applyAlignment="1">
      <alignment horizontal="center" vertical="center"/>
      <protection/>
    </xf>
    <xf numFmtId="4" fontId="10" fillId="0" borderId="85" xfId="61" applyNumberFormat="1" applyFont="1" applyBorder="1" applyAlignment="1" quotePrefix="1">
      <alignment horizontal="center" vertical="center"/>
      <protection/>
    </xf>
    <xf numFmtId="0" fontId="10" fillId="0" borderId="86" xfId="61" applyNumberFormat="1" applyFont="1" applyBorder="1" applyAlignment="1">
      <alignment horizontal="center" vertical="center"/>
      <protection/>
    </xf>
    <xf numFmtId="4" fontId="9" fillId="0" borderId="0" xfId="61" applyNumberFormat="1" applyFont="1" applyBorder="1" applyAlignment="1">
      <alignment horizontal="center" vertical="center" wrapText="1"/>
      <protection/>
    </xf>
    <xf numFmtId="4" fontId="10" fillId="0" borderId="17" xfId="61" applyNumberFormat="1" applyFont="1" applyBorder="1" applyAlignment="1">
      <alignment horizontal="left" vertical="center" wrapText="1"/>
      <protection/>
    </xf>
    <xf numFmtId="4" fontId="10" fillId="0" borderId="17" xfId="61" applyNumberFormat="1" applyFont="1" applyBorder="1" applyAlignment="1">
      <alignment horizontal="center" vertical="center" wrapText="1"/>
      <protection/>
    </xf>
    <xf numFmtId="4" fontId="10" fillId="0" borderId="17" xfId="61" applyNumberFormat="1" applyFont="1" applyBorder="1" applyAlignment="1">
      <alignment vertical="center"/>
      <protection/>
    </xf>
    <xf numFmtId="4" fontId="10" fillId="0" borderId="14" xfId="60" applyNumberFormat="1" applyFont="1" applyBorder="1" applyAlignment="1">
      <alignment vertical="center"/>
    </xf>
    <xf numFmtId="4" fontId="10" fillId="0" borderId="15" xfId="60" applyNumberFormat="1" applyFont="1" applyBorder="1" applyAlignment="1">
      <alignment horizontal="center" vertical="center"/>
    </xf>
    <xf numFmtId="4" fontId="10" fillId="0" borderId="15" xfId="60" applyNumberFormat="1" applyFont="1" applyBorder="1" applyAlignment="1">
      <alignment vertical="center" wrapText="1"/>
    </xf>
    <xf numFmtId="0" fontId="10" fillId="0" borderId="15" xfId="60" applyNumberFormat="1" applyFont="1" applyBorder="1" applyAlignment="1">
      <alignment horizontal="center" vertical="center"/>
    </xf>
    <xf numFmtId="4" fontId="10" fillId="0" borderId="15" xfId="60" applyNumberFormat="1" applyFont="1" applyBorder="1" applyAlignment="1">
      <alignment vertical="center"/>
    </xf>
    <xf numFmtId="3" fontId="10" fillId="0" borderId="15" xfId="60" applyNumberFormat="1" applyFont="1" applyBorder="1" applyAlignment="1">
      <alignment horizontal="center" vertical="center"/>
    </xf>
    <xf numFmtId="4" fontId="10" fillId="0" borderId="15" xfId="60" applyNumberFormat="1" applyFont="1" applyBorder="1" applyAlignment="1">
      <alignment horizontal="right" vertical="center"/>
    </xf>
    <xf numFmtId="4" fontId="10" fillId="0" borderId="16" xfId="60" applyNumberFormat="1" applyFont="1" applyBorder="1" applyAlignment="1">
      <alignment vertical="center"/>
    </xf>
    <xf numFmtId="4" fontId="13" fillId="0" borderId="0" xfId="61" applyNumberFormat="1" applyFont="1" applyBorder="1" applyAlignment="1">
      <alignment vertical="center" wrapText="1"/>
      <protection/>
    </xf>
    <xf numFmtId="4" fontId="13" fillId="0" borderId="0" xfId="61" applyNumberFormat="1" applyFont="1" applyBorder="1" applyAlignment="1">
      <alignment horizontal="center" vertical="center"/>
      <protection/>
    </xf>
    <xf numFmtId="0" fontId="13" fillId="0" borderId="0" xfId="61" applyNumberFormat="1" applyFont="1" applyBorder="1" applyAlignment="1">
      <alignment horizontal="center" vertical="center"/>
      <protection/>
    </xf>
    <xf numFmtId="49" fontId="13" fillId="0" borderId="29" xfId="61" applyNumberFormat="1" applyFont="1" applyBorder="1" applyAlignment="1">
      <alignment horizontal="center" vertical="center"/>
      <protection/>
    </xf>
    <xf numFmtId="4" fontId="13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 vertical="center"/>
      <protection/>
    </xf>
    <xf numFmtId="3" fontId="14" fillId="0" borderId="64" xfId="62" applyNumberFormat="1" applyFont="1" applyBorder="1" applyAlignment="1" quotePrefix="1">
      <alignment horizontal="center" vertical="center"/>
      <protection/>
    </xf>
    <xf numFmtId="3" fontId="14" fillId="0" borderId="66" xfId="62" applyNumberFormat="1" applyFont="1" applyBorder="1" applyAlignment="1" quotePrefix="1">
      <alignment horizontal="center" vertical="center"/>
      <protection/>
    </xf>
    <xf numFmtId="3" fontId="14" fillId="0" borderId="67" xfId="62" applyNumberFormat="1" applyFont="1" applyBorder="1" applyAlignment="1" quotePrefix="1">
      <alignment horizontal="center" vertical="center"/>
      <protection/>
    </xf>
    <xf numFmtId="4" fontId="0" fillId="0" borderId="58" xfId="63" applyNumberFormat="1" applyFont="1" applyFill="1" applyBorder="1" applyAlignment="1">
      <alignment vertical="center"/>
    </xf>
    <xf numFmtId="4" fontId="11" fillId="0" borderId="133" xfId="0" applyNumberFormat="1" applyFont="1" applyFill="1" applyBorder="1" applyAlignment="1">
      <alignment horizontal="center" vertical="center"/>
    </xf>
    <xf numFmtId="4" fontId="1" fillId="0" borderId="133" xfId="0" applyNumberFormat="1" applyFont="1" applyFill="1" applyBorder="1" applyAlignment="1">
      <alignment horizontal="center" vertical="center"/>
    </xf>
    <xf numFmtId="188" fontId="1" fillId="0" borderId="133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 wrapText="1"/>
    </xf>
    <xf numFmtId="4" fontId="13" fillId="0" borderId="38" xfId="63" applyNumberFormat="1" applyFont="1" applyBorder="1" applyAlignment="1">
      <alignment vertical="center"/>
    </xf>
    <xf numFmtId="4" fontId="13" fillId="0" borderId="37" xfId="63" applyNumberFormat="1" applyFont="1" applyBorder="1" applyAlignment="1">
      <alignment vertical="center"/>
    </xf>
    <xf numFmtId="4" fontId="9" fillId="0" borderId="0" xfId="57" applyNumberFormat="1" applyFont="1" applyFill="1" applyBorder="1" applyAlignment="1">
      <alignment horizontal="left" vertical="center"/>
    </xf>
    <xf numFmtId="2" fontId="9" fillId="0" borderId="0" xfId="57" applyNumberFormat="1" applyFont="1" applyFill="1" applyBorder="1" applyAlignment="1">
      <alignment vertical="center"/>
    </xf>
    <xf numFmtId="14" fontId="9" fillId="0" borderId="0" xfId="57" applyNumberFormat="1" applyFon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4" fontId="9" fillId="0" borderId="0" xfId="65" applyNumberFormat="1" applyFont="1" applyFill="1" applyAlignment="1">
      <alignment vertical="center"/>
    </xf>
    <xf numFmtId="4" fontId="10" fillId="0" borderId="0" xfId="65" applyNumberFormat="1" applyFont="1" applyFill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83" xfId="0" applyFont="1" applyBorder="1" applyAlignment="1">
      <alignment/>
    </xf>
    <xf numFmtId="0" fontId="0" fillId="0" borderId="92" xfId="0" applyFont="1" applyBorder="1" applyAlignment="1">
      <alignment/>
    </xf>
    <xf numFmtId="3" fontId="10" fillId="0" borderId="92" xfId="0" applyNumberFormat="1" applyFont="1" applyBorder="1" applyAlignment="1">
      <alignment vertical="center"/>
    </xf>
    <xf numFmtId="1" fontId="10" fillId="0" borderId="96" xfId="0" applyNumberFormat="1" applyFont="1" applyBorder="1" applyAlignment="1">
      <alignment vertical="center"/>
    </xf>
    <xf numFmtId="4" fontId="10" fillId="0" borderId="125" xfId="61" applyNumberFormat="1" applyFont="1" applyBorder="1" applyAlignment="1" quotePrefix="1">
      <alignment horizontal="center" vertical="center"/>
      <protection/>
    </xf>
    <xf numFmtId="4" fontId="10" fillId="0" borderId="118" xfId="61" applyNumberFormat="1" applyFont="1" applyBorder="1" applyAlignment="1">
      <alignment vertical="center"/>
      <protection/>
    </xf>
    <xf numFmtId="0" fontId="10" fillId="0" borderId="118" xfId="61" applyNumberFormat="1" applyFont="1" applyBorder="1" applyAlignment="1">
      <alignment horizontal="center" vertical="center"/>
      <protection/>
    </xf>
    <xf numFmtId="4" fontId="10" fillId="0" borderId="128" xfId="61" applyNumberFormat="1" applyFont="1" applyBorder="1" applyAlignment="1" quotePrefix="1">
      <alignment horizontal="center" vertical="center"/>
      <protection/>
    </xf>
    <xf numFmtId="4" fontId="10" fillId="0" borderId="129" xfId="61" applyNumberFormat="1" applyFont="1" applyBorder="1" applyAlignment="1">
      <alignment vertical="center"/>
      <protection/>
    </xf>
    <xf numFmtId="0" fontId="10" fillId="0" borderId="129" xfId="61" applyNumberFormat="1" applyFont="1" applyBorder="1" applyAlignment="1">
      <alignment horizontal="center" vertical="center"/>
      <protection/>
    </xf>
    <xf numFmtId="4" fontId="11" fillId="33" borderId="17" xfId="0" applyNumberFormat="1" applyFont="1" applyFill="1" applyBorder="1" applyAlignment="1">
      <alignment horizontal="center" vertical="center"/>
    </xf>
    <xf numFmtId="4" fontId="15" fillId="0" borderId="0" xfId="57" applyNumberFormat="1" applyFont="1" applyFill="1" applyBorder="1" applyAlignment="1">
      <alignment horizontal="right" vertical="center"/>
    </xf>
    <xf numFmtId="186" fontId="9" fillId="0" borderId="0" xfId="57" applyNumberFormat="1" applyFont="1" applyFill="1" applyBorder="1" applyAlignment="1">
      <alignment vertical="center"/>
    </xf>
    <xf numFmtId="14" fontId="9" fillId="0" borderId="0" xfId="57" applyNumberFormat="1" applyFont="1" applyFill="1" applyBorder="1" applyAlignment="1">
      <alignment horizontal="right" vertical="center"/>
    </xf>
    <xf numFmtId="4" fontId="9" fillId="0" borderId="0" xfId="57" applyNumberFormat="1" applyFont="1" applyFill="1" applyBorder="1" applyAlignment="1">
      <alignment horizontal="right" vertical="center"/>
    </xf>
    <xf numFmtId="4" fontId="10" fillId="0" borderId="92" xfId="0" applyNumberFormat="1" applyFont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 wrapText="1"/>
    </xf>
    <xf numFmtId="186" fontId="9" fillId="0" borderId="0" xfId="57" applyNumberFormat="1" applyFont="1" applyFill="1" applyAlignment="1">
      <alignment horizontal="center" vertical="center" wrapText="1"/>
    </xf>
    <xf numFmtId="4" fontId="9" fillId="0" borderId="0" xfId="57" applyNumberFormat="1" applyFont="1" applyFill="1" applyBorder="1" applyAlignment="1">
      <alignment vertical="center"/>
    </xf>
    <xf numFmtId="4" fontId="14" fillId="0" borderId="125" xfId="0" applyNumberFormat="1" applyFont="1" applyBorder="1" applyAlignment="1">
      <alignment horizontal="left" vertical="center"/>
    </xf>
    <xf numFmtId="4" fontId="14" fillId="0" borderId="128" xfId="0" applyNumberFormat="1" applyFont="1" applyBorder="1" applyAlignment="1">
      <alignment horizontal="left" vertical="center"/>
    </xf>
    <xf numFmtId="4" fontId="13" fillId="0" borderId="13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82" fontId="12" fillId="0" borderId="14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29" fillId="0" borderId="126" xfId="0" applyNumberFormat="1" applyFont="1" applyBorder="1" applyAlignment="1">
      <alignment horizontal="right" vertical="center"/>
    </xf>
    <xf numFmtId="4" fontId="29" fillId="0" borderId="130" xfId="0" applyNumberFormat="1" applyFont="1" applyBorder="1" applyAlignment="1">
      <alignment horizontal="right" vertical="center"/>
    </xf>
    <xf numFmtId="4" fontId="29" fillId="0" borderId="81" xfId="57" applyNumberFormat="1" applyFont="1" applyBorder="1" applyAlignment="1">
      <alignment vertical="center"/>
    </xf>
    <xf numFmtId="4" fontId="29" fillId="0" borderId="84" xfId="57" applyNumberFormat="1" applyFont="1" applyBorder="1" applyAlignment="1">
      <alignment vertical="center"/>
    </xf>
    <xf numFmtId="4" fontId="29" fillId="0" borderId="135" xfId="57" applyNumberFormat="1" applyFont="1" applyBorder="1" applyAlignment="1">
      <alignment vertical="center"/>
    </xf>
    <xf numFmtId="4" fontId="29" fillId="0" borderId="80" xfId="57" applyNumberFormat="1" applyFont="1" applyBorder="1" applyAlignment="1">
      <alignment vertical="center"/>
    </xf>
    <xf numFmtId="4" fontId="29" fillId="0" borderId="83" xfId="57" applyNumberFormat="1" applyFont="1" applyBorder="1" applyAlignment="1">
      <alignment vertical="center"/>
    </xf>
    <xf numFmtId="4" fontId="29" fillId="0" borderId="92" xfId="57" applyNumberFormat="1" applyFont="1" applyBorder="1" applyAlignment="1">
      <alignment vertical="center"/>
    </xf>
    <xf numFmtId="4" fontId="29" fillId="0" borderId="90" xfId="57" applyNumberFormat="1" applyFont="1" applyBorder="1" applyAlignment="1">
      <alignment vertical="center"/>
    </xf>
    <xf numFmtId="4" fontId="29" fillId="0" borderId="136" xfId="57" applyNumberFormat="1" applyFont="1" applyBorder="1" applyAlignment="1">
      <alignment vertical="center"/>
    </xf>
    <xf numFmtId="4" fontId="29" fillId="0" borderId="86" xfId="57" applyNumberFormat="1" applyFont="1" applyBorder="1" applyAlignment="1">
      <alignment vertical="center"/>
    </xf>
    <xf numFmtId="4" fontId="29" fillId="0" borderId="135" xfId="77" applyNumberFormat="1" applyFont="1" applyFill="1" applyBorder="1" applyAlignment="1">
      <alignment vertical="center"/>
    </xf>
    <xf numFmtId="4" fontId="29" fillId="0" borderId="137" xfId="0" applyNumberFormat="1" applyFont="1" applyBorder="1" applyAlignment="1">
      <alignment vertical="center"/>
    </xf>
    <xf numFmtId="4" fontId="29" fillId="0" borderId="94" xfId="57" applyNumberFormat="1" applyFont="1" applyBorder="1" applyAlignment="1">
      <alignment vertical="center"/>
    </xf>
    <xf numFmtId="4" fontId="29" fillId="0" borderId="98" xfId="57" applyNumberFormat="1" applyFont="1" applyBorder="1" applyAlignment="1">
      <alignment vertical="center"/>
    </xf>
    <xf numFmtId="4" fontId="29" fillId="0" borderId="99" xfId="57" applyNumberFormat="1" applyFont="1" applyBorder="1" applyAlignment="1">
      <alignment vertical="center"/>
    </xf>
    <xf numFmtId="4" fontId="29" fillId="0" borderId="100" xfId="57" applyNumberFormat="1" applyFont="1" applyBorder="1" applyAlignment="1">
      <alignment vertical="center"/>
    </xf>
    <xf numFmtId="4" fontId="29" fillId="0" borderId="87" xfId="57" applyNumberFormat="1" applyFont="1" applyBorder="1" applyAlignment="1">
      <alignment vertical="center"/>
    </xf>
    <xf numFmtId="4" fontId="29" fillId="0" borderId="123" xfId="57" applyNumberFormat="1" applyFont="1" applyBorder="1" applyAlignment="1">
      <alignment vertical="center"/>
    </xf>
    <xf numFmtId="4" fontId="29" fillId="0" borderId="126" xfId="57" applyNumberFormat="1" applyFont="1" applyBorder="1" applyAlignment="1">
      <alignment vertical="center"/>
    </xf>
    <xf numFmtId="4" fontId="30" fillId="0" borderId="130" xfId="0" applyNumberFormat="1" applyFont="1" applyBorder="1" applyAlignment="1">
      <alignment vertical="center"/>
    </xf>
    <xf numFmtId="4" fontId="29" fillId="0" borderId="138" xfId="57" applyNumberFormat="1" applyFont="1" applyBorder="1" applyAlignment="1">
      <alignment vertical="center"/>
    </xf>
    <xf numFmtId="4" fontId="29" fillId="0" borderId="139" xfId="57" applyNumberFormat="1" applyFont="1" applyBorder="1" applyAlignment="1">
      <alignment vertical="center"/>
    </xf>
    <xf numFmtId="4" fontId="29" fillId="0" borderId="140" xfId="57" applyNumberFormat="1" applyFont="1" applyBorder="1" applyAlignment="1">
      <alignment vertical="center"/>
    </xf>
    <xf numFmtId="4" fontId="29" fillId="0" borderId="141" xfId="57" applyNumberFormat="1" applyFont="1" applyBorder="1" applyAlignment="1">
      <alignment vertical="center"/>
    </xf>
    <xf numFmtId="4" fontId="29" fillId="0" borderId="142" xfId="57" applyNumberFormat="1" applyFont="1" applyBorder="1" applyAlignment="1">
      <alignment vertical="center"/>
    </xf>
    <xf numFmtId="4" fontId="29" fillId="0" borderId="19" xfId="57" applyNumberFormat="1" applyFont="1" applyBorder="1" applyAlignment="1">
      <alignment horizontal="right" vertical="center"/>
    </xf>
    <xf numFmtId="4" fontId="29" fillId="0" borderId="19" xfId="57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9" fillId="0" borderId="15" xfId="57" applyNumberFormat="1" applyFont="1" applyFill="1" applyBorder="1" applyAlignment="1">
      <alignment horizontal="right" vertical="center"/>
    </xf>
    <xf numFmtId="186" fontId="9" fillId="0" borderId="15" xfId="57" applyNumberFormat="1" applyFont="1" applyFill="1" applyBorder="1" applyAlignment="1">
      <alignment vertical="center"/>
    </xf>
    <xf numFmtId="14" fontId="9" fillId="0" borderId="15" xfId="57" applyNumberFormat="1" applyFont="1" applyFill="1" applyBorder="1" applyAlignment="1">
      <alignment horizontal="right" vertical="center"/>
    </xf>
    <xf numFmtId="2" fontId="32" fillId="0" borderId="0" xfId="57" applyNumberFormat="1" applyFont="1" applyFill="1" applyBorder="1" applyAlignment="1">
      <alignment vertical="center"/>
    </xf>
    <xf numFmtId="4" fontId="32" fillId="0" borderId="0" xfId="57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right" vertical="center"/>
    </xf>
    <xf numFmtId="186" fontId="19" fillId="0" borderId="0" xfId="0" applyNumberFormat="1" applyFont="1" applyFill="1" applyAlignment="1">
      <alignment vertical="center"/>
    </xf>
    <xf numFmtId="186" fontId="15" fillId="0" borderId="0" xfId="57" applyNumberFormat="1" applyFont="1" applyFill="1" applyAlignment="1">
      <alignment horizontal="center" vertical="center" wrapText="1"/>
    </xf>
    <xf numFmtId="186" fontId="10" fillId="0" borderId="0" xfId="57" applyNumberFormat="1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6" fontId="0" fillId="0" borderId="0" xfId="57" applyNumberFormat="1" applyFont="1" applyFill="1" applyAlignment="1">
      <alignment vertical="center"/>
    </xf>
    <xf numFmtId="4" fontId="29" fillId="0" borderId="12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80" xfId="0" applyNumberFormat="1" applyFont="1" applyBorder="1" applyAlignment="1">
      <alignment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4" fontId="29" fillId="0" borderId="83" xfId="0" applyNumberFormat="1" applyFont="1" applyBorder="1" applyAlignment="1">
      <alignment vertical="center"/>
    </xf>
    <xf numFmtId="3" fontId="29" fillId="0" borderId="83" xfId="0" applyNumberFormat="1" applyFont="1" applyBorder="1" applyAlignment="1">
      <alignment horizontal="center" vertical="center"/>
    </xf>
    <xf numFmtId="3" fontId="29" fillId="0" borderId="84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9" fillId="0" borderId="143" xfId="0" applyNumberFormat="1" applyFont="1" applyBorder="1" applyAlignment="1">
      <alignment horizontal="center" vertical="center"/>
    </xf>
    <xf numFmtId="4" fontId="29" fillId="0" borderId="86" xfId="0" applyNumberFormat="1" applyFont="1" applyBorder="1" applyAlignment="1">
      <alignment vertical="center"/>
    </xf>
    <xf numFmtId="3" fontId="29" fillId="0" borderId="86" xfId="0" applyNumberFormat="1" applyFont="1" applyBorder="1" applyAlignment="1">
      <alignment horizontal="center" vertical="center"/>
    </xf>
    <xf numFmtId="3" fontId="29" fillId="0" borderId="87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4" fontId="31" fillId="0" borderId="132" xfId="57" applyNumberFormat="1" applyFont="1" applyBorder="1" applyAlignment="1">
      <alignment vertical="center"/>
    </xf>
    <xf numFmtId="4" fontId="31" fillId="0" borderId="0" xfId="57" applyNumberFormat="1" applyFont="1" applyBorder="1" applyAlignment="1">
      <alignment vertical="center"/>
    </xf>
    <xf numFmtId="4" fontId="31" fillId="0" borderId="144" xfId="57" applyNumberFormat="1" applyFont="1" applyBorder="1" applyAlignment="1">
      <alignment vertical="center"/>
    </xf>
    <xf numFmtId="4" fontId="29" fillId="0" borderId="144" xfId="57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9" fillId="0" borderId="105" xfId="0" applyNumberFormat="1" applyFont="1" applyBorder="1" applyAlignment="1">
      <alignment vertical="center"/>
    </xf>
    <xf numFmtId="4" fontId="28" fillId="0" borderId="15" xfId="57" applyNumberFormat="1" applyFont="1" applyBorder="1" applyAlignment="1">
      <alignment horizontal="center" vertical="center"/>
    </xf>
    <xf numFmtId="4" fontId="29" fillId="0" borderId="81" xfId="0" applyNumberFormat="1" applyFont="1" applyBorder="1" applyAlignment="1">
      <alignment vertical="center"/>
    </xf>
    <xf numFmtId="4" fontId="29" fillId="0" borderId="84" xfId="0" applyNumberFormat="1" applyFont="1" applyBorder="1" applyAlignment="1">
      <alignment vertical="center"/>
    </xf>
    <xf numFmtId="4" fontId="29" fillId="0" borderId="87" xfId="0" applyNumberFormat="1" applyFont="1" applyBorder="1" applyAlignment="1">
      <alignment vertical="center"/>
    </xf>
    <xf numFmtId="4" fontId="29" fillId="0" borderId="80" xfId="57" applyNumberFormat="1" applyFont="1" applyBorder="1" applyAlignment="1">
      <alignment horizontal="right" vertical="center"/>
    </xf>
    <xf numFmtId="4" fontId="29" fillId="0" borderId="83" xfId="57" applyNumberFormat="1" applyFont="1" applyBorder="1" applyAlignment="1">
      <alignment horizontal="right" vertical="center"/>
    </xf>
    <xf numFmtId="4" fontId="29" fillId="0" borderId="86" xfId="57" applyNumberFormat="1" applyFont="1" applyBorder="1" applyAlignment="1">
      <alignment horizontal="right" vertical="center"/>
    </xf>
    <xf numFmtId="4" fontId="31" fillId="0" borderId="84" xfId="57" applyNumberFormat="1" applyFont="1" applyBorder="1" applyAlignment="1">
      <alignment vertical="center"/>
    </xf>
    <xf numFmtId="4" fontId="29" fillId="0" borderId="88" xfId="0" applyNumberFormat="1" applyFont="1" applyBorder="1" applyAlignment="1">
      <alignment vertical="center"/>
    </xf>
    <xf numFmtId="4" fontId="29" fillId="0" borderId="145" xfId="57" applyNumberFormat="1" applyFont="1" applyBorder="1" applyAlignment="1">
      <alignment vertical="center"/>
    </xf>
    <xf numFmtId="4" fontId="29" fillId="0" borderId="46" xfId="57" applyNumberFormat="1" applyFont="1" applyBorder="1" applyAlignment="1">
      <alignment vertical="center"/>
    </xf>
    <xf numFmtId="4" fontId="14" fillId="0" borderId="83" xfId="0" applyNumberFormat="1" applyFont="1" applyBorder="1" applyAlignment="1">
      <alignment horizontal="left" vertical="center"/>
    </xf>
    <xf numFmtId="4" fontId="14" fillId="0" borderId="83" xfId="0" applyNumberFormat="1" applyFont="1" applyBorder="1" applyAlignment="1">
      <alignment vertical="center"/>
    </xf>
    <xf numFmtId="4" fontId="29" fillId="0" borderId="80" xfId="60" applyNumberFormat="1" applyFont="1" applyBorder="1" applyAlignment="1">
      <alignment vertical="center"/>
    </xf>
    <xf numFmtId="4" fontId="29" fillId="0" borderId="83" xfId="60" applyNumberFormat="1" applyFont="1" applyBorder="1" applyAlignment="1">
      <alignment vertical="center"/>
    </xf>
    <xf numFmtId="4" fontId="29" fillId="0" borderId="92" xfId="60" applyNumberFormat="1" applyFont="1" applyBorder="1" applyAlignment="1">
      <alignment vertical="center"/>
    </xf>
    <xf numFmtId="4" fontId="29" fillId="0" borderId="98" xfId="60" applyNumberFormat="1" applyFont="1" applyBorder="1" applyAlignment="1">
      <alignment vertical="center"/>
    </xf>
    <xf numFmtId="4" fontId="29" fillId="0" borderId="102" xfId="60" applyNumberFormat="1" applyFont="1" applyBorder="1" applyAlignment="1">
      <alignment vertical="center"/>
    </xf>
    <xf numFmtId="4" fontId="29" fillId="0" borderId="81" xfId="60" applyNumberFormat="1" applyFont="1" applyBorder="1" applyAlignment="1">
      <alignment horizontal="right" vertical="center"/>
    </xf>
    <xf numFmtId="4" fontId="29" fillId="0" borderId="84" xfId="60" applyNumberFormat="1" applyFont="1" applyBorder="1" applyAlignment="1">
      <alignment horizontal="right" vertical="center"/>
    </xf>
    <xf numFmtId="4" fontId="29" fillId="0" borderId="135" xfId="60" applyNumberFormat="1" applyFont="1" applyBorder="1" applyAlignment="1">
      <alignment horizontal="right" vertical="center"/>
    </xf>
    <xf numFmtId="4" fontId="29" fillId="0" borderId="81" xfId="59" applyNumberFormat="1" applyFont="1" applyBorder="1" applyAlignment="1">
      <alignment vertical="center"/>
      <protection/>
    </xf>
    <xf numFmtId="4" fontId="29" fillId="0" borderId="84" xfId="59" applyNumberFormat="1" applyFont="1" applyBorder="1" applyAlignment="1">
      <alignment vertical="center"/>
      <protection/>
    </xf>
    <xf numFmtId="4" fontId="29" fillId="0" borderId="87" xfId="59" applyNumberFormat="1" applyFont="1" applyBorder="1" applyAlignment="1">
      <alignment vertical="center"/>
      <protection/>
    </xf>
    <xf numFmtId="4" fontId="29" fillId="0" borderId="146" xfId="0" applyNumberFormat="1" applyFont="1" applyBorder="1" applyAlignment="1">
      <alignment horizontal="right" vertical="center"/>
    </xf>
    <xf numFmtId="4" fontId="31" fillId="0" borderId="87" xfId="0" applyNumberFormat="1" applyFont="1" applyBorder="1" applyAlignment="1">
      <alignment vertical="center"/>
    </xf>
    <xf numFmtId="4" fontId="29" fillId="0" borderId="81" xfId="0" applyNumberFormat="1" applyFont="1" applyBorder="1" applyAlignment="1">
      <alignment horizontal="center" vertical="center"/>
    </xf>
    <xf numFmtId="4" fontId="29" fillId="0" borderId="84" xfId="0" applyNumberFormat="1" applyFont="1" applyBorder="1" applyAlignment="1">
      <alignment horizontal="center" vertical="center"/>
    </xf>
    <xf numFmtId="4" fontId="29" fillId="0" borderId="87" xfId="0" applyNumberFormat="1" applyFont="1" applyBorder="1" applyAlignment="1">
      <alignment horizontal="center" vertical="center"/>
    </xf>
    <xf numFmtId="4" fontId="29" fillId="0" borderId="147" xfId="0" applyNumberFormat="1" applyFont="1" applyBorder="1" applyAlignment="1">
      <alignment vertical="center"/>
    </xf>
    <xf numFmtId="4" fontId="31" fillId="0" borderId="105" xfId="0" applyNumberFormat="1" applyFont="1" applyBorder="1" applyAlignment="1">
      <alignment horizontal="right" vertical="center"/>
    </xf>
    <xf numFmtId="4" fontId="29" fillId="0" borderId="74" xfId="57" applyNumberFormat="1" applyFont="1" applyBorder="1" applyAlignment="1">
      <alignment horizontal="right" vertical="center"/>
    </xf>
    <xf numFmtId="4" fontId="29" fillId="0" borderId="78" xfId="57" applyNumberFormat="1" applyFont="1" applyBorder="1" applyAlignment="1">
      <alignment horizontal="right" vertical="center"/>
    </xf>
    <xf numFmtId="4" fontId="29" fillId="0" borderId="75" xfId="57" applyNumberFormat="1" applyFont="1" applyBorder="1" applyAlignment="1">
      <alignment horizontal="right" vertical="center"/>
    </xf>
    <xf numFmtId="4" fontId="31" fillId="0" borderId="148" xfId="57" applyNumberFormat="1" applyFont="1" applyBorder="1" applyAlignment="1">
      <alignment horizontal="right" vertical="center"/>
    </xf>
    <xf numFmtId="4" fontId="31" fillId="0" borderId="46" xfId="0" applyNumberFormat="1" applyFont="1" applyBorder="1" applyAlignment="1">
      <alignment vertical="center"/>
    </xf>
    <xf numFmtId="4" fontId="31" fillId="0" borderId="149" xfId="57" applyNumberFormat="1" applyFont="1" applyBorder="1" applyAlignment="1">
      <alignment horizontal="right" vertical="center"/>
    </xf>
    <xf numFmtId="4" fontId="31" fillId="0" borderId="150" xfId="57" applyNumberFormat="1" applyFont="1" applyBorder="1" applyAlignment="1">
      <alignment horizontal="right" vertical="center"/>
    </xf>
    <xf numFmtId="4" fontId="29" fillId="0" borderId="148" xfId="57" applyNumberFormat="1" applyFont="1" applyBorder="1" applyAlignment="1">
      <alignment vertical="center"/>
    </xf>
    <xf numFmtId="4" fontId="29" fillId="0" borderId="149" xfId="57" applyNumberFormat="1" applyFont="1" applyBorder="1" applyAlignment="1">
      <alignment vertical="center"/>
    </xf>
    <xf numFmtId="4" fontId="29" fillId="0" borderId="150" xfId="57" applyNumberFormat="1" applyFont="1" applyBorder="1" applyAlignment="1">
      <alignment vertical="center"/>
    </xf>
    <xf numFmtId="4" fontId="31" fillId="0" borderId="148" xfId="57" applyNumberFormat="1" applyFont="1" applyBorder="1" applyAlignment="1">
      <alignment vertical="center"/>
    </xf>
    <xf numFmtId="4" fontId="31" fillId="0" borderId="46" xfId="57" applyNumberFormat="1" applyFont="1" applyBorder="1" applyAlignment="1">
      <alignment vertical="center"/>
    </xf>
    <xf numFmtId="4" fontId="31" fillId="0" borderId="149" xfId="57" applyNumberFormat="1" applyFont="1" applyBorder="1" applyAlignment="1">
      <alignment vertical="center"/>
    </xf>
    <xf numFmtId="4" fontId="31" fillId="0" borderId="150" xfId="57" applyNumberFormat="1" applyFont="1" applyBorder="1" applyAlignment="1">
      <alignment vertical="center"/>
    </xf>
    <xf numFmtId="4" fontId="29" fillId="0" borderId="151" xfId="63" applyNumberFormat="1" applyFont="1" applyBorder="1" applyAlignment="1">
      <alignment vertical="center"/>
    </xf>
    <xf numFmtId="4" fontId="29" fillId="0" borderId="152" xfId="63" applyNumberFormat="1" applyFont="1" applyBorder="1" applyAlignment="1">
      <alignment vertical="center"/>
    </xf>
    <xf numFmtId="4" fontId="29" fillId="0" borderId="153" xfId="63" applyNumberFormat="1" applyFont="1" applyBorder="1" applyAlignment="1">
      <alignment vertical="center"/>
    </xf>
    <xf numFmtId="4" fontId="31" fillId="0" borderId="151" xfId="63" applyNumberFormat="1" applyFont="1" applyBorder="1" applyAlignment="1">
      <alignment vertical="center"/>
    </xf>
    <xf numFmtId="4" fontId="31" fillId="0" borderId="152" xfId="63" applyNumberFormat="1" applyFont="1" applyBorder="1" applyAlignment="1">
      <alignment vertical="center"/>
    </xf>
    <xf numFmtId="4" fontId="31" fillId="0" borderId="153" xfId="63" applyNumberFormat="1" applyFont="1" applyBorder="1" applyAlignment="1">
      <alignment vertical="center"/>
    </xf>
    <xf numFmtId="4" fontId="29" fillId="0" borderId="154" xfId="59" applyNumberFormat="1" applyFont="1" applyBorder="1" applyAlignment="1">
      <alignment vertical="center"/>
      <protection/>
    </xf>
    <xf numFmtId="4" fontId="29" fillId="0" borderId="136" xfId="59" applyNumberFormat="1" applyFont="1" applyBorder="1" applyAlignment="1">
      <alignment vertical="center"/>
      <protection/>
    </xf>
    <xf numFmtId="4" fontId="29" fillId="0" borderId="0" xfId="59" applyNumberFormat="1" applyFont="1" applyAlignment="1">
      <alignment vertical="center"/>
      <protection/>
    </xf>
    <xf numFmtId="4" fontId="33" fillId="0" borderId="105" xfId="0" applyNumberFormat="1" applyFont="1" applyBorder="1" applyAlignment="1">
      <alignment horizontal="right" vertical="center"/>
    </xf>
    <xf numFmtId="4" fontId="29" fillId="0" borderId="146" xfId="59" applyNumberFormat="1" applyFont="1" applyBorder="1" applyAlignment="1">
      <alignment horizontal="right" vertical="center"/>
      <protection/>
    </xf>
    <xf numFmtId="4" fontId="29" fillId="0" borderId="147" xfId="59" applyNumberFormat="1" applyFont="1" applyBorder="1" applyAlignment="1">
      <alignment vertical="center"/>
      <protection/>
    </xf>
    <xf numFmtId="4" fontId="29" fillId="0" borderId="138" xfId="64" applyNumberFormat="1" applyFont="1" applyBorder="1" applyAlignment="1">
      <alignment vertical="center"/>
      <protection/>
    </xf>
    <xf numFmtId="4" fontId="29" fillId="0" borderId="139" xfId="64" applyNumberFormat="1" applyFont="1" applyBorder="1" applyAlignment="1">
      <alignment vertical="center"/>
      <protection/>
    </xf>
    <xf numFmtId="4" fontId="29" fillId="0" borderId="140" xfId="64" applyNumberFormat="1" applyFont="1" applyBorder="1" applyAlignment="1">
      <alignment vertical="center"/>
      <protection/>
    </xf>
    <xf numFmtId="4" fontId="29" fillId="0" borderId="155" xfId="64" applyNumberFormat="1" applyFont="1" applyBorder="1" applyAlignment="1">
      <alignment vertical="center"/>
      <protection/>
    </xf>
    <xf numFmtId="4" fontId="29" fillId="0" borderId="142" xfId="64" applyNumberFormat="1" applyFont="1" applyBorder="1" applyAlignment="1">
      <alignment vertical="center"/>
      <protection/>
    </xf>
    <xf numFmtId="4" fontId="29" fillId="0" borderId="81" xfId="64" applyNumberFormat="1" applyFont="1" applyBorder="1" applyAlignment="1">
      <alignment vertical="center"/>
      <protection/>
    </xf>
    <xf numFmtId="4" fontId="29" fillId="0" borderId="135" xfId="64" applyNumberFormat="1" applyFont="1" applyBorder="1" applyAlignment="1">
      <alignment vertical="center"/>
      <protection/>
    </xf>
    <xf numFmtId="4" fontId="29" fillId="0" borderId="100" xfId="64" applyNumberFormat="1" applyFont="1" applyBorder="1" applyAlignment="1">
      <alignment vertical="center"/>
      <protection/>
    </xf>
    <xf numFmtId="4" fontId="29" fillId="0" borderId="137" xfId="64" applyNumberFormat="1" applyFont="1" applyBorder="1" applyAlignment="1">
      <alignment vertical="center"/>
      <protection/>
    </xf>
    <xf numFmtId="4" fontId="20" fillId="0" borderId="149" xfId="57" applyNumberFormat="1" applyFont="1" applyBorder="1" applyAlignment="1">
      <alignment vertical="center"/>
    </xf>
    <xf numFmtId="4" fontId="20" fillId="0" borderId="84" xfId="57" applyNumberFormat="1" applyFont="1" applyBorder="1" applyAlignment="1">
      <alignment vertical="center"/>
    </xf>
    <xf numFmtId="4" fontId="20" fillId="0" borderId="150" xfId="57" applyNumberFormat="1" applyFont="1" applyBorder="1" applyAlignment="1">
      <alignment vertical="center"/>
    </xf>
    <xf numFmtId="4" fontId="20" fillId="0" borderId="81" xfId="57" applyNumberFormat="1" applyFont="1" applyBorder="1" applyAlignment="1">
      <alignment vertical="center"/>
    </xf>
    <xf numFmtId="4" fontId="20" fillId="0" borderId="87" xfId="57" applyNumberFormat="1" applyFont="1" applyBorder="1" applyAlignment="1">
      <alignment vertical="center"/>
    </xf>
    <xf numFmtId="4" fontId="20" fillId="0" borderId="80" xfId="57" applyNumberFormat="1" applyFont="1" applyBorder="1" applyAlignment="1">
      <alignment vertical="center"/>
    </xf>
    <xf numFmtId="4" fontId="20" fillId="0" borderId="83" xfId="57" applyNumberFormat="1" applyFont="1" applyBorder="1" applyAlignment="1">
      <alignment vertical="center"/>
    </xf>
    <xf numFmtId="4" fontId="20" fillId="0" borderId="94" xfId="57" applyNumberFormat="1" applyFont="1" applyBorder="1" applyAlignment="1">
      <alignment vertical="center"/>
    </xf>
    <xf numFmtId="4" fontId="29" fillId="0" borderId="132" xfId="57" applyNumberFormat="1" applyFont="1" applyBorder="1" applyAlignment="1">
      <alignment vertical="center"/>
    </xf>
    <xf numFmtId="4" fontId="20" fillId="0" borderId="135" xfId="57" applyNumberFormat="1" applyFont="1" applyBorder="1" applyAlignment="1">
      <alignment vertical="center"/>
    </xf>
    <xf numFmtId="4" fontId="29" fillId="0" borderId="156" xfId="57" applyNumberFormat="1" applyFont="1" applyBorder="1" applyAlignment="1">
      <alignment vertical="center"/>
    </xf>
    <xf numFmtId="4" fontId="29" fillId="0" borderId="79" xfId="57" applyNumberFormat="1" applyFont="1" applyBorder="1" applyAlignment="1">
      <alignment horizontal="center" vertical="center"/>
    </xf>
    <xf numFmtId="4" fontId="29" fillId="0" borderId="0" xfId="57" applyNumberFormat="1" applyFont="1" applyBorder="1" applyAlignment="1">
      <alignment vertical="center"/>
    </xf>
    <xf numFmtId="4" fontId="29" fillId="0" borderId="106" xfId="57" applyNumberFormat="1" applyFont="1" applyBorder="1" applyAlignment="1">
      <alignment horizontal="center" vertical="center"/>
    </xf>
    <xf numFmtId="4" fontId="29" fillId="0" borderId="105" xfId="57" applyNumberFormat="1" applyFont="1" applyBorder="1" applyAlignment="1">
      <alignment vertical="center"/>
    </xf>
    <xf numFmtId="4" fontId="29" fillId="0" borderId="82" xfId="57" applyNumberFormat="1" applyFont="1" applyBorder="1" applyAlignment="1">
      <alignment horizontal="center" vertical="center"/>
    </xf>
    <xf numFmtId="4" fontId="29" fillId="0" borderId="0" xfId="57" applyNumberFormat="1" applyFont="1" applyBorder="1" applyAlignment="1">
      <alignment horizontal="center" vertical="center"/>
    </xf>
    <xf numFmtId="4" fontId="29" fillId="0" borderId="85" xfId="57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9" fillId="0" borderId="0" xfId="57" applyNumberFormat="1" applyFont="1" applyFill="1" applyAlignment="1">
      <alignment horizontal="center" vertical="center"/>
    </xf>
    <xf numFmtId="183" fontId="11" fillId="0" borderId="0" xfId="57" applyNumberFormat="1" applyFont="1" applyFill="1" applyBorder="1" applyAlignment="1">
      <alignment horizontal="center" vertical="center"/>
    </xf>
    <xf numFmtId="183" fontId="11" fillId="0" borderId="17" xfId="57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4" fontId="0" fillId="0" borderId="157" xfId="0" applyNumberFormat="1" applyBorder="1" applyAlignment="1">
      <alignment vertical="center"/>
    </xf>
    <xf numFmtId="2" fontId="29" fillId="0" borderId="0" xfId="57" applyNumberFormat="1" applyFont="1" applyBorder="1" applyAlignment="1">
      <alignment vertical="center"/>
    </xf>
    <xf numFmtId="4" fontId="15" fillId="0" borderId="125" xfId="0" applyNumberFormat="1" applyFont="1" applyBorder="1" applyAlignment="1">
      <alignment horizontal="left" vertical="center"/>
    </xf>
    <xf numFmtId="4" fontId="14" fillId="0" borderId="84" xfId="57" applyNumberFormat="1" applyFont="1" applyBorder="1" applyAlignment="1">
      <alignment vertical="center"/>
    </xf>
    <xf numFmtId="4" fontId="11" fillId="33" borderId="0" xfId="59" applyNumberFormat="1" applyFont="1" applyFill="1" applyBorder="1" applyAlignment="1">
      <alignment vertical="center"/>
      <protection/>
    </xf>
    <xf numFmtId="4" fontId="74" fillId="0" borderId="80" xfId="0" applyNumberFormat="1" applyFont="1" applyBorder="1" applyAlignment="1">
      <alignment vertical="center"/>
    </xf>
    <xf numFmtId="3" fontId="74" fillId="0" borderId="80" xfId="0" applyNumberFormat="1" applyFont="1" applyBorder="1" applyAlignment="1">
      <alignment horizontal="center" vertical="center"/>
    </xf>
    <xf numFmtId="3" fontId="74" fillId="0" borderId="81" xfId="0" applyNumberFormat="1" applyFont="1" applyBorder="1" applyAlignment="1">
      <alignment horizontal="center" vertical="center"/>
    </xf>
    <xf numFmtId="4" fontId="74" fillId="0" borderId="83" xfId="0" applyNumberFormat="1" applyFont="1" applyBorder="1" applyAlignment="1">
      <alignment vertical="center"/>
    </xf>
    <xf numFmtId="3" fontId="74" fillId="0" borderId="83" xfId="0" applyNumberFormat="1" applyFont="1" applyBorder="1" applyAlignment="1">
      <alignment horizontal="center" vertical="center"/>
    </xf>
    <xf numFmtId="3" fontId="74" fillId="0" borderId="84" xfId="0" applyNumberFormat="1" applyFont="1" applyBorder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4" fontId="74" fillId="0" borderId="143" xfId="0" applyNumberFormat="1" applyFont="1" applyBorder="1" applyAlignment="1">
      <alignment horizontal="center" vertical="center"/>
    </xf>
    <xf numFmtId="4" fontId="74" fillId="0" borderId="86" xfId="0" applyNumberFormat="1" applyFont="1" applyBorder="1" applyAlignment="1">
      <alignment vertical="center"/>
    </xf>
    <xf numFmtId="3" fontId="74" fillId="0" borderId="86" xfId="0" applyNumberFormat="1" applyFont="1" applyBorder="1" applyAlignment="1">
      <alignment horizontal="center" vertical="center"/>
    </xf>
    <xf numFmtId="3" fontId="74" fillId="0" borderId="87" xfId="0" applyNumberFormat="1" applyFont="1" applyBorder="1" applyAlignment="1">
      <alignment horizontal="center" vertical="center"/>
    </xf>
    <xf numFmtId="182" fontId="12" fillId="0" borderId="0" xfId="61" applyNumberFormat="1" applyFont="1" applyBorder="1" applyAlignment="1">
      <alignment vertical="center"/>
      <protection/>
    </xf>
    <xf numFmtId="4" fontId="10" fillId="0" borderId="74" xfId="0" applyNumberFormat="1" applyFont="1" applyBorder="1" applyAlignment="1">
      <alignment vertical="center"/>
    </xf>
    <xf numFmtId="4" fontId="10" fillId="0" borderId="158" xfId="57" applyNumberFormat="1" applyFont="1" applyBorder="1" applyAlignment="1" quotePrefix="1">
      <alignment horizontal="center" vertical="center"/>
    </xf>
    <xf numFmtId="4" fontId="10" fillId="0" borderId="158" xfId="0" applyNumberFormat="1" applyFont="1" applyBorder="1" applyAlignment="1">
      <alignment vertical="center"/>
    </xf>
    <xf numFmtId="9" fontId="10" fillId="0" borderId="158" xfId="0" applyNumberFormat="1" applyFont="1" applyBorder="1" applyAlignment="1">
      <alignment horizontal="center" vertical="center"/>
    </xf>
    <xf numFmtId="4" fontId="29" fillId="0" borderId="158" xfId="57" applyNumberFormat="1" applyFont="1" applyBorder="1" applyAlignment="1">
      <alignment horizontal="right" vertical="center"/>
    </xf>
    <xf numFmtId="4" fontId="10" fillId="0" borderId="159" xfId="57" applyNumberFormat="1" applyFont="1" applyBorder="1" applyAlignment="1" quotePrefix="1">
      <alignment horizontal="center" vertical="center"/>
    </xf>
    <xf numFmtId="4" fontId="10" fillId="0" borderId="159" xfId="0" applyNumberFormat="1" applyFont="1" applyBorder="1" applyAlignment="1">
      <alignment vertical="center"/>
    </xf>
    <xf numFmtId="9" fontId="10" fillId="0" borderId="159" xfId="0" applyNumberFormat="1" applyFont="1" applyBorder="1" applyAlignment="1">
      <alignment horizontal="center" vertical="center"/>
    </xf>
    <xf numFmtId="4" fontId="29" fillId="0" borderId="159" xfId="57" applyNumberFormat="1" applyFont="1" applyBorder="1" applyAlignment="1">
      <alignment horizontal="right" vertical="center"/>
    </xf>
    <xf numFmtId="183" fontId="1" fillId="33" borderId="0" xfId="57" applyNumberFormat="1" applyFont="1" applyFill="1" applyBorder="1" applyAlignment="1">
      <alignment horizontal="center" vertical="center"/>
    </xf>
    <xf numFmtId="0" fontId="0" fillId="0" borderId="0" xfId="61" applyBorder="1">
      <alignment/>
      <protection/>
    </xf>
    <xf numFmtId="4" fontId="10" fillId="0" borderId="0" xfId="61" applyNumberFormat="1" applyFont="1" applyBorder="1" applyAlignment="1">
      <alignment horizontal="left" vertical="center"/>
      <protection/>
    </xf>
    <xf numFmtId="0" fontId="10" fillId="0" borderId="0" xfId="61" applyFont="1" applyBorder="1" applyAlignment="1">
      <alignment vertical="center" wrapText="1"/>
      <protection/>
    </xf>
    <xf numFmtId="0" fontId="10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 wrapText="1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NumberFormat="1" applyFont="1" applyBorder="1" applyAlignment="1">
      <alignment horizontal="center" vertical="center"/>
      <protection/>
    </xf>
    <xf numFmtId="4" fontId="29" fillId="0" borderId="96" xfId="60" applyNumberFormat="1" applyFont="1" applyBorder="1" applyAlignment="1">
      <alignment vertical="center"/>
    </xf>
    <xf numFmtId="4" fontId="9" fillId="33" borderId="13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vertical="center"/>
    </xf>
    <xf numFmtId="183" fontId="11" fillId="33" borderId="15" xfId="0" applyNumberFormat="1" applyFont="1" applyFill="1" applyBorder="1" applyAlignment="1">
      <alignment horizontal="center" vertical="center"/>
    </xf>
    <xf numFmtId="4" fontId="15" fillId="0" borderId="18" xfId="63" applyNumberFormat="1" applyFont="1" applyBorder="1" applyAlignment="1">
      <alignment horizontal="center" vertical="center"/>
    </xf>
    <xf numFmtId="4" fontId="9" fillId="0" borderId="18" xfId="63" applyNumberFormat="1" applyFont="1" applyBorder="1" applyAlignment="1">
      <alignment horizontal="right" vertical="center"/>
    </xf>
    <xf numFmtId="187" fontId="12" fillId="0" borderId="24" xfId="48" applyFont="1" applyBorder="1" applyAlignment="1">
      <alignment horizontal="center" vertical="center"/>
    </xf>
    <xf numFmtId="182" fontId="12" fillId="0" borderId="25" xfId="48" applyNumberFormat="1" applyFont="1" applyBorder="1" applyAlignment="1">
      <alignment vertical="center"/>
    </xf>
    <xf numFmtId="182" fontId="12" fillId="0" borderId="0" xfId="48" applyNumberFormat="1" applyFont="1" applyBorder="1" applyAlignment="1">
      <alignment vertical="center"/>
    </xf>
    <xf numFmtId="187" fontId="13" fillId="0" borderId="28" xfId="48" applyFont="1" applyBorder="1" applyAlignment="1">
      <alignment horizontal="center" vertical="center"/>
    </xf>
    <xf numFmtId="189" fontId="13" fillId="0" borderId="27" xfId="48" applyNumberFormat="1" applyFont="1" applyBorder="1" applyAlignment="1">
      <alignment horizontal="right" vertical="center"/>
    </xf>
    <xf numFmtId="189" fontId="13" fillId="0" borderId="0" xfId="48" applyNumberFormat="1" applyFont="1" applyBorder="1" applyAlignment="1">
      <alignment horizontal="right" vertical="center"/>
    </xf>
    <xf numFmtId="4" fontId="14" fillId="0" borderId="160" xfId="62" applyNumberFormat="1" applyFont="1" applyBorder="1" applyAlignment="1" quotePrefix="1">
      <alignment horizontal="center" vertical="center"/>
      <protection/>
    </xf>
    <xf numFmtId="4" fontId="10" fillId="0" borderId="161" xfId="62" applyNumberFormat="1" applyFont="1" applyBorder="1" applyAlignment="1">
      <alignment horizontal="center" vertical="center"/>
      <protection/>
    </xf>
    <xf numFmtId="4" fontId="29" fillId="0" borderId="162" xfId="63" applyNumberFormat="1" applyFont="1" applyBorder="1" applyAlignment="1">
      <alignment vertical="center"/>
    </xf>
    <xf numFmtId="4" fontId="14" fillId="0" borderId="163" xfId="62" applyNumberFormat="1" applyFont="1" applyBorder="1" applyAlignment="1" quotePrefix="1">
      <alignment horizontal="center" vertical="center"/>
      <protection/>
    </xf>
    <xf numFmtId="4" fontId="10" fillId="0" borderId="164" xfId="62" applyNumberFormat="1" applyFont="1" applyBorder="1" applyAlignment="1">
      <alignment horizontal="center" vertical="center"/>
      <protection/>
    </xf>
    <xf numFmtId="4" fontId="29" fillId="0" borderId="165" xfId="63" applyNumberFormat="1" applyFont="1" applyBorder="1" applyAlignment="1">
      <alignment vertical="center"/>
    </xf>
    <xf numFmtId="4" fontId="14" fillId="0" borderId="166" xfId="62" applyNumberFormat="1" applyFont="1" applyBorder="1" applyAlignment="1" quotePrefix="1">
      <alignment horizontal="center" vertical="center"/>
      <protection/>
    </xf>
    <xf numFmtId="4" fontId="10" fillId="0" borderId="167" xfId="62" applyNumberFormat="1" applyFont="1" applyBorder="1" applyAlignment="1">
      <alignment horizontal="center" vertical="center"/>
      <protection/>
    </xf>
    <xf numFmtId="4" fontId="29" fillId="0" borderId="168" xfId="63" applyNumberFormat="1" applyFont="1" applyBorder="1" applyAlignment="1">
      <alignment vertical="center"/>
    </xf>
    <xf numFmtId="0" fontId="10" fillId="0" borderId="0" xfId="0" applyNumberFormat="1" applyFont="1" applyBorder="1" applyAlignment="1" quotePrefix="1">
      <alignment vertical="center"/>
    </xf>
    <xf numFmtId="4" fontId="22" fillId="0" borderId="17" xfId="0" applyNumberFormat="1" applyFont="1" applyBorder="1" applyAlignment="1">
      <alignment horizontal="center" vertical="center" wrapText="1"/>
    </xf>
    <xf numFmtId="0" fontId="9" fillId="0" borderId="0" xfId="57" applyNumberFormat="1" applyFont="1" applyBorder="1" applyAlignment="1">
      <alignment vertical="center"/>
    </xf>
    <xf numFmtId="0" fontId="9" fillId="0" borderId="0" xfId="57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/>
    </xf>
    <xf numFmtId="187" fontId="13" fillId="0" borderId="29" xfId="48" applyFont="1" applyBorder="1" applyAlignment="1">
      <alignment horizontal="center" vertical="center"/>
    </xf>
    <xf numFmtId="189" fontId="13" fillId="0" borderId="31" xfId="48" applyNumberFormat="1" applyFont="1" applyBorder="1" applyAlignment="1">
      <alignment horizontal="right" vertical="center"/>
    </xf>
    <xf numFmtId="0" fontId="9" fillId="0" borderId="91" xfId="0" applyNumberFormat="1" applyFont="1" applyBorder="1" applyAlignment="1" quotePrefix="1">
      <alignment horizontal="center" vertical="center"/>
    </xf>
    <xf numFmtId="4" fontId="28" fillId="0" borderId="135" xfId="57" applyNumberFormat="1" applyFont="1" applyBorder="1" applyAlignment="1">
      <alignment vertical="center"/>
    </xf>
    <xf numFmtId="0" fontId="9" fillId="0" borderId="91" xfId="0" applyNumberFormat="1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4" fontId="28" fillId="0" borderId="87" xfId="57" applyNumberFormat="1" applyFont="1" applyBorder="1" applyAlignment="1">
      <alignment vertical="center"/>
    </xf>
    <xf numFmtId="0" fontId="9" fillId="0" borderId="82" xfId="0" applyNumberFormat="1" applyFont="1" applyBorder="1" applyAlignment="1">
      <alignment horizontal="center" vertical="center"/>
    </xf>
    <xf numFmtId="4" fontId="10" fillId="0" borderId="169" xfId="0" applyNumberFormat="1" applyFont="1" applyBorder="1" applyAlignment="1" quotePrefix="1">
      <alignment horizontal="center" vertical="center"/>
    </xf>
    <xf numFmtId="4" fontId="10" fillId="0" borderId="170" xfId="0" applyNumberFormat="1" applyFont="1" applyBorder="1" applyAlignment="1" quotePrefix="1">
      <alignment horizontal="center" vertical="center"/>
    </xf>
    <xf numFmtId="0" fontId="50" fillId="0" borderId="0" xfId="0" applyFont="1" applyAlignment="1">
      <alignment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horizontal="center" vertical="center"/>
    </xf>
    <xf numFmtId="0" fontId="51" fillId="33" borderId="11" xfId="57" applyNumberFormat="1" applyFont="1" applyFill="1" applyBorder="1" applyAlignment="1">
      <alignment horizontal="left" vertical="center"/>
    </xf>
    <xf numFmtId="4" fontId="51" fillId="33" borderId="11" xfId="57" applyNumberFormat="1" applyFont="1" applyFill="1" applyBorder="1" applyAlignment="1">
      <alignment horizontal="center" vertical="center"/>
    </xf>
    <xf numFmtId="4" fontId="51" fillId="33" borderId="11" xfId="57" applyNumberFormat="1" applyFont="1" applyFill="1" applyBorder="1" applyAlignment="1">
      <alignment horizontal="left"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1" fillId="33" borderId="14" xfId="0" applyNumberFormat="1" applyFont="1" applyFill="1" applyBorder="1" applyAlignment="1">
      <alignment horizontal="center" vertical="center"/>
    </xf>
    <xf numFmtId="4" fontId="51" fillId="33" borderId="15" xfId="0" applyNumberFormat="1" applyFont="1" applyFill="1" applyBorder="1" applyAlignment="1">
      <alignment vertical="center"/>
    </xf>
    <xf numFmtId="0" fontId="51" fillId="33" borderId="15" xfId="0" applyNumberFormat="1" applyFont="1" applyFill="1" applyBorder="1" applyAlignment="1">
      <alignment horizontal="left" vertical="center"/>
    </xf>
    <xf numFmtId="4" fontId="51" fillId="33" borderId="15" xfId="0" applyNumberFormat="1" applyFont="1" applyFill="1" applyBorder="1" applyAlignment="1">
      <alignment horizontal="center" vertical="center"/>
    </xf>
    <xf numFmtId="183" fontId="51" fillId="33" borderId="15" xfId="0" applyNumberFormat="1" applyFont="1" applyFill="1" applyBorder="1" applyAlignment="1">
      <alignment horizontal="left" vertical="center"/>
    </xf>
    <xf numFmtId="4" fontId="51" fillId="33" borderId="16" xfId="0" applyNumberFormat="1" applyFont="1" applyFill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left" vertical="center"/>
    </xf>
    <xf numFmtId="4" fontId="50" fillId="0" borderId="0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horizontal="left" vertical="center"/>
    </xf>
    <xf numFmtId="4" fontId="50" fillId="0" borderId="12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52" fillId="0" borderId="50" xfId="63" applyNumberFormat="1" applyFont="1" applyBorder="1" applyAlignment="1">
      <alignment horizontal="center" vertical="center"/>
    </xf>
    <xf numFmtId="4" fontId="51" fillId="0" borderId="50" xfId="62" applyNumberFormat="1" applyFont="1" applyBorder="1" applyAlignment="1">
      <alignment horizontal="left" vertical="center"/>
      <protection/>
    </xf>
    <xf numFmtId="4" fontId="51" fillId="0" borderId="50" xfId="63" applyNumberFormat="1" applyFont="1" applyBorder="1" applyAlignment="1">
      <alignment horizontal="right" vertical="center"/>
    </xf>
    <xf numFmtId="4" fontId="51" fillId="0" borderId="0" xfId="63" applyNumberFormat="1" applyFont="1" applyBorder="1" applyAlignment="1">
      <alignment horizontal="right" vertical="center"/>
    </xf>
    <xf numFmtId="4" fontId="50" fillId="0" borderId="17" xfId="0" applyNumberFormat="1" applyFont="1" applyBorder="1" applyAlignment="1">
      <alignment vertical="center"/>
    </xf>
    <xf numFmtId="4" fontId="53" fillId="0" borderId="160" xfId="62" applyNumberFormat="1" applyFont="1" applyBorder="1" applyAlignment="1" quotePrefix="1">
      <alignment horizontal="center" vertical="center"/>
      <protection/>
    </xf>
    <xf numFmtId="4" fontId="50" fillId="0" borderId="161" xfId="62" applyNumberFormat="1" applyFont="1" applyBorder="1" applyAlignment="1">
      <alignment horizontal="left" vertical="center"/>
      <protection/>
    </xf>
    <xf numFmtId="4" fontId="54" fillId="0" borderId="161" xfId="63" applyNumberFormat="1" applyFont="1" applyBorder="1" applyAlignment="1">
      <alignment horizontal="right" vertical="center"/>
    </xf>
    <xf numFmtId="4" fontId="54" fillId="0" borderId="162" xfId="63" applyNumberFormat="1" applyFont="1" applyBorder="1" applyAlignment="1">
      <alignment horizontal="right" vertical="center"/>
    </xf>
    <xf numFmtId="4" fontId="50" fillId="0" borderId="0" xfId="63" applyNumberFormat="1" applyFont="1" applyBorder="1" applyAlignment="1">
      <alignment vertical="center"/>
    </xf>
    <xf numFmtId="4" fontId="51" fillId="0" borderId="17" xfId="63" applyNumberFormat="1" applyFont="1" applyBorder="1" applyAlignment="1">
      <alignment horizontal="right" vertical="center"/>
    </xf>
    <xf numFmtId="4" fontId="53" fillId="0" borderId="163" xfId="62" applyNumberFormat="1" applyFont="1" applyBorder="1" applyAlignment="1" quotePrefix="1">
      <alignment horizontal="center" vertical="center"/>
      <protection/>
    </xf>
    <xf numFmtId="4" fontId="50" fillId="0" borderId="164" xfId="62" applyNumberFormat="1" applyFont="1" applyBorder="1" applyAlignment="1">
      <alignment horizontal="left" vertical="center"/>
      <protection/>
    </xf>
    <xf numFmtId="4" fontId="54" fillId="0" borderId="164" xfId="63" applyNumberFormat="1" applyFont="1" applyBorder="1" applyAlignment="1">
      <alignment horizontal="right" vertical="center"/>
    </xf>
    <xf numFmtId="4" fontId="54" fillId="0" borderId="165" xfId="63" applyNumberFormat="1" applyFont="1" applyBorder="1" applyAlignment="1">
      <alignment horizontal="right" vertical="center"/>
    </xf>
    <xf numFmtId="4" fontId="54" fillId="0" borderId="17" xfId="63" applyNumberFormat="1" applyFont="1" applyBorder="1" applyAlignment="1">
      <alignment vertical="center"/>
    </xf>
    <xf numFmtId="4" fontId="54" fillId="0" borderId="0" xfId="57" applyNumberFormat="1" applyFont="1" applyBorder="1" applyAlignment="1">
      <alignment vertical="center"/>
    </xf>
    <xf numFmtId="4" fontId="53" fillId="0" borderId="166" xfId="62" applyNumberFormat="1" applyFont="1" applyBorder="1" applyAlignment="1" quotePrefix="1">
      <alignment horizontal="center" vertical="center"/>
      <protection/>
    </xf>
    <xf numFmtId="4" fontId="50" fillId="0" borderId="167" xfId="62" applyNumberFormat="1" applyFont="1" applyBorder="1" applyAlignment="1">
      <alignment horizontal="left" vertical="center"/>
      <protection/>
    </xf>
    <xf numFmtId="4" fontId="54" fillId="0" borderId="167" xfId="63" applyNumberFormat="1" applyFont="1" applyBorder="1" applyAlignment="1">
      <alignment horizontal="right" vertical="center"/>
    </xf>
    <xf numFmtId="4" fontId="54" fillId="0" borderId="168" xfId="63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 horizontal="center" vertical="center"/>
    </xf>
    <xf numFmtId="4" fontId="52" fillId="0" borderId="160" xfId="62" applyNumberFormat="1" applyFont="1" applyBorder="1" applyAlignment="1" quotePrefix="1">
      <alignment horizontal="center" vertical="center"/>
      <protection/>
    </xf>
    <xf numFmtId="4" fontId="55" fillId="0" borderId="161" xfId="63" applyNumberFormat="1" applyFont="1" applyBorder="1" applyAlignment="1">
      <alignment vertical="center"/>
    </xf>
    <xf numFmtId="4" fontId="54" fillId="0" borderId="162" xfId="63" applyNumberFormat="1" applyFont="1" applyBorder="1" applyAlignment="1">
      <alignment vertical="center"/>
    </xf>
    <xf numFmtId="4" fontId="54" fillId="0" borderId="161" xfId="63" applyNumberFormat="1" applyFont="1" applyBorder="1" applyAlignment="1">
      <alignment vertical="center"/>
    </xf>
    <xf numFmtId="4" fontId="54" fillId="0" borderId="164" xfId="63" applyNumberFormat="1" applyFont="1" applyBorder="1" applyAlignment="1">
      <alignment vertical="center"/>
    </xf>
    <xf numFmtId="4" fontId="54" fillId="0" borderId="165" xfId="63" applyNumberFormat="1" applyFont="1" applyBorder="1" applyAlignment="1">
      <alignment vertical="center"/>
    </xf>
    <xf numFmtId="4" fontId="51" fillId="0" borderId="0" xfId="57" applyNumberFormat="1" applyFont="1" applyBorder="1" applyAlignment="1">
      <alignment horizontal="right" vertical="center"/>
    </xf>
    <xf numFmtId="4" fontId="51" fillId="0" borderId="17" xfId="57" applyNumberFormat="1" applyFont="1" applyBorder="1" applyAlignment="1">
      <alignment horizontal="right" vertical="center"/>
    </xf>
    <xf numFmtId="4" fontId="54" fillId="0" borderId="17" xfId="57" applyNumberFormat="1" applyFont="1" applyBorder="1" applyAlignment="1">
      <alignment vertical="center"/>
    </xf>
    <xf numFmtId="4" fontId="54" fillId="0" borderId="167" xfId="63" applyNumberFormat="1" applyFont="1" applyBorder="1" applyAlignment="1">
      <alignment vertical="center"/>
    </xf>
    <xf numFmtId="4" fontId="54" fillId="0" borderId="0" xfId="63" applyNumberFormat="1" applyFont="1" applyBorder="1" applyAlignment="1">
      <alignment vertical="center"/>
    </xf>
    <xf numFmtId="4" fontId="54" fillId="0" borderId="168" xfId="63" applyNumberFormat="1" applyFont="1" applyBorder="1" applyAlignment="1">
      <alignment vertical="center"/>
    </xf>
    <xf numFmtId="4" fontId="50" fillId="0" borderId="14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left" vertical="center"/>
    </xf>
    <xf numFmtId="4" fontId="50" fillId="0" borderId="15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horizontal="left" vertical="center"/>
    </xf>
    <xf numFmtId="4" fontId="50" fillId="0" borderId="16" xfId="0" applyNumberFormat="1" applyFont="1" applyBorder="1" applyAlignment="1">
      <alignment vertical="center"/>
    </xf>
    <xf numFmtId="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left" vertical="center"/>
    </xf>
    <xf numFmtId="4" fontId="50" fillId="0" borderId="0" xfId="0" applyNumberFormat="1" applyFont="1" applyAlignment="1">
      <alignment horizontal="left" vertical="center"/>
    </xf>
    <xf numFmtId="4" fontId="56" fillId="0" borderId="13" xfId="0" applyNumberFormat="1" applyFont="1" applyBorder="1" applyAlignment="1">
      <alignment horizontal="center" vertical="center"/>
    </xf>
    <xf numFmtId="4" fontId="54" fillId="0" borderId="13" xfId="63" applyNumberFormat="1" applyFont="1" applyBorder="1" applyAlignment="1">
      <alignment vertical="center"/>
    </xf>
    <xf numFmtId="4" fontId="10" fillId="0" borderId="0" xfId="58" applyNumberFormat="1" applyFont="1" applyFill="1" applyAlignment="1">
      <alignment vertical="center"/>
      <protection/>
    </xf>
    <xf numFmtId="4" fontId="10" fillId="0" borderId="0" xfId="58" applyNumberFormat="1" applyFont="1" applyAlignment="1">
      <alignment vertical="center"/>
      <protection/>
    </xf>
    <xf numFmtId="4" fontId="11" fillId="33" borderId="10" xfId="58" applyNumberFormat="1" applyFont="1" applyFill="1" applyBorder="1" applyAlignment="1">
      <alignment vertical="center"/>
      <protection/>
    </xf>
    <xf numFmtId="4" fontId="11" fillId="33" borderId="11" xfId="58" applyNumberFormat="1" applyFont="1" applyFill="1" applyBorder="1" applyAlignment="1">
      <alignment horizontal="center" vertical="center"/>
      <protection/>
    </xf>
    <xf numFmtId="4" fontId="11" fillId="33" borderId="11" xfId="58" applyNumberFormat="1" applyFont="1" applyFill="1" applyBorder="1" applyAlignment="1">
      <alignment vertical="center"/>
      <protection/>
    </xf>
    <xf numFmtId="4" fontId="11" fillId="33" borderId="12" xfId="58" applyNumberFormat="1" applyFont="1" applyFill="1" applyBorder="1" applyAlignment="1">
      <alignment vertical="center"/>
      <protection/>
    </xf>
    <xf numFmtId="0" fontId="0" fillId="0" borderId="0" xfId="58">
      <alignment/>
      <protection/>
    </xf>
    <xf numFmtId="4" fontId="11" fillId="33" borderId="0" xfId="58" applyNumberFormat="1" applyFont="1" applyFill="1" applyBorder="1" applyAlignment="1">
      <alignment horizontal="center" vertical="center"/>
      <protection/>
    </xf>
    <xf numFmtId="4" fontId="9" fillId="33" borderId="13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vertical="center"/>
      <protection/>
    </xf>
    <xf numFmtId="4" fontId="11" fillId="33" borderId="14" xfId="58" applyNumberFormat="1" applyFont="1" applyFill="1" applyBorder="1" applyAlignment="1">
      <alignment horizontal="center" vertical="center"/>
      <protection/>
    </xf>
    <xf numFmtId="4" fontId="11" fillId="33" borderId="15" xfId="58" applyNumberFormat="1" applyFont="1" applyFill="1" applyBorder="1" applyAlignment="1">
      <alignment vertical="center"/>
      <protection/>
    </xf>
    <xf numFmtId="0" fontId="11" fillId="33" borderId="15" xfId="58" applyNumberFormat="1" applyFont="1" applyFill="1" applyBorder="1" applyAlignment="1">
      <alignment horizontal="center" vertical="center"/>
      <protection/>
    </xf>
    <xf numFmtId="4" fontId="11" fillId="33" borderId="15" xfId="58" applyNumberFormat="1" applyFont="1" applyFill="1" applyBorder="1" applyAlignment="1">
      <alignment horizontal="center" vertical="center"/>
      <protection/>
    </xf>
    <xf numFmtId="183" fontId="11" fillId="33" borderId="15" xfId="58" applyNumberFormat="1" applyFont="1" applyFill="1" applyBorder="1" applyAlignment="1">
      <alignment horizontal="center" vertical="center"/>
      <protection/>
    </xf>
    <xf numFmtId="4" fontId="11" fillId="33" borderId="16" xfId="58" applyNumberFormat="1" applyFont="1" applyFill="1" applyBorder="1" applyAlignment="1">
      <alignment vertical="center"/>
      <protection/>
    </xf>
    <xf numFmtId="4" fontId="10" fillId="0" borderId="13" xfId="58" applyNumberFormat="1" applyFont="1" applyBorder="1" applyAlignment="1">
      <alignment vertical="center"/>
      <protection/>
    </xf>
    <xf numFmtId="4" fontId="10" fillId="0" borderId="0" xfId="58" applyNumberFormat="1" applyFont="1" applyBorder="1" applyAlignment="1">
      <alignment horizontal="center" vertical="center"/>
      <protection/>
    </xf>
    <xf numFmtId="0" fontId="10" fillId="0" borderId="0" xfId="58" applyNumberFormat="1" applyFont="1" applyBorder="1" applyAlignment="1">
      <alignment horizontal="center" vertical="center"/>
      <protection/>
    </xf>
    <xf numFmtId="4" fontId="10" fillId="0" borderId="0" xfId="58" applyNumberFormat="1" applyFont="1" applyBorder="1" applyAlignment="1">
      <alignment vertical="center"/>
      <protection/>
    </xf>
    <xf numFmtId="4" fontId="10" fillId="0" borderId="11" xfId="58" applyNumberFormat="1" applyFont="1" applyBorder="1" applyAlignment="1">
      <alignment vertical="center"/>
      <protection/>
    </xf>
    <xf numFmtId="4" fontId="10" fillId="0" borderId="17" xfId="58" applyNumberFormat="1" applyFont="1" applyBorder="1" applyAlignment="1">
      <alignment vertical="center"/>
      <protection/>
    </xf>
    <xf numFmtId="4" fontId="1" fillId="0" borderId="0" xfId="58" applyNumberFormat="1" applyFont="1" applyBorder="1" applyAlignment="1">
      <alignment vertical="center"/>
      <protection/>
    </xf>
    <xf numFmtId="0" fontId="10" fillId="0" borderId="161" xfId="58" applyNumberFormat="1" applyFont="1" applyBorder="1" applyAlignment="1">
      <alignment horizontal="center" vertical="center"/>
      <protection/>
    </xf>
    <xf numFmtId="0" fontId="10" fillId="0" borderId="164" xfId="58" applyNumberFormat="1" applyFont="1" applyBorder="1" applyAlignment="1">
      <alignment horizontal="center" vertical="center"/>
      <protection/>
    </xf>
    <xf numFmtId="4" fontId="29" fillId="0" borderId="0" xfId="63" applyNumberFormat="1" applyFont="1" applyBorder="1" applyAlignment="1">
      <alignment vertical="center"/>
    </xf>
    <xf numFmtId="4" fontId="1" fillId="0" borderId="0" xfId="58" applyNumberFormat="1" applyFont="1" applyBorder="1" applyAlignment="1">
      <alignment horizontal="center" vertical="center"/>
      <protection/>
    </xf>
    <xf numFmtId="0" fontId="10" fillId="0" borderId="167" xfId="58" applyNumberFormat="1" applyFont="1" applyBorder="1" applyAlignment="1">
      <alignment horizontal="center" vertical="center"/>
      <protection/>
    </xf>
    <xf numFmtId="4" fontId="9" fillId="0" borderId="0" xfId="58" applyNumberFormat="1" applyFont="1" applyBorder="1" applyAlignment="1">
      <alignment horizontal="center" vertical="center" wrapText="1"/>
      <protection/>
    </xf>
    <xf numFmtId="4" fontId="10" fillId="0" borderId="0" xfId="58" applyNumberFormat="1" applyFont="1" applyBorder="1" applyAlignment="1" quotePrefix="1">
      <alignment horizontal="center" vertical="center"/>
      <protection/>
    </xf>
    <xf numFmtId="0" fontId="10" fillId="0" borderId="0" xfId="58" applyNumberFormat="1" applyFont="1" applyBorder="1" applyAlignment="1" quotePrefix="1">
      <alignment horizontal="center" vertical="center"/>
      <protection/>
    </xf>
    <xf numFmtId="49" fontId="13" fillId="0" borderId="0" xfId="58" applyNumberFormat="1" applyFont="1" applyBorder="1" applyAlignment="1">
      <alignment horizontal="center" vertical="center"/>
      <protection/>
    </xf>
    <xf numFmtId="4" fontId="13" fillId="0" borderId="0" xfId="58" applyNumberFormat="1" applyFont="1" applyBorder="1" applyAlignment="1">
      <alignment horizontal="right" vertical="center"/>
      <protection/>
    </xf>
    <xf numFmtId="4" fontId="10" fillId="0" borderId="14" xfId="58" applyNumberFormat="1" applyFont="1" applyBorder="1" applyAlignment="1">
      <alignment vertical="center"/>
      <protection/>
    </xf>
    <xf numFmtId="4" fontId="10" fillId="0" borderId="15" xfId="58" applyNumberFormat="1" applyFont="1" applyBorder="1" applyAlignment="1" quotePrefix="1">
      <alignment horizontal="center" vertical="center"/>
      <protection/>
    </xf>
    <xf numFmtId="0" fontId="10" fillId="0" borderId="15" xfId="58" applyNumberFormat="1" applyFont="1" applyBorder="1" applyAlignment="1" quotePrefix="1">
      <alignment horizontal="center" vertical="center"/>
      <protection/>
    </xf>
    <xf numFmtId="4" fontId="29" fillId="0" borderId="15" xfId="57" applyNumberFormat="1" applyFont="1" applyBorder="1" applyAlignment="1">
      <alignment vertical="center"/>
    </xf>
    <xf numFmtId="4" fontId="10" fillId="0" borderId="15" xfId="58" applyNumberFormat="1" applyFont="1" applyBorder="1" applyAlignment="1">
      <alignment vertical="center"/>
      <protection/>
    </xf>
    <xf numFmtId="4" fontId="9" fillId="0" borderId="15" xfId="58" applyNumberFormat="1" applyFont="1" applyBorder="1" applyAlignment="1">
      <alignment horizontal="center" vertical="center" wrapText="1"/>
      <protection/>
    </xf>
    <xf numFmtId="4" fontId="10" fillId="0" borderId="16" xfId="58" applyNumberFormat="1" applyFont="1" applyBorder="1" applyAlignment="1">
      <alignment vertical="center"/>
      <protection/>
    </xf>
    <xf numFmtId="4" fontId="10" fillId="0" borderId="0" xfId="58" applyNumberFormat="1" applyFont="1" applyAlignment="1">
      <alignment horizontal="center" vertical="center"/>
      <protection/>
    </xf>
    <xf numFmtId="0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vertical="center"/>
      <protection/>
    </xf>
    <xf numFmtId="4" fontId="29" fillId="0" borderId="161" xfId="63" applyNumberFormat="1" applyFont="1" applyBorder="1" applyAlignment="1">
      <alignment vertical="center"/>
    </xf>
    <xf numFmtId="4" fontId="29" fillId="0" borderId="171" xfId="63" applyNumberFormat="1" applyFont="1" applyBorder="1" applyAlignment="1">
      <alignment vertical="center"/>
    </xf>
    <xf numFmtId="4" fontId="29" fillId="0" borderId="164" xfId="63" applyNumberFormat="1" applyFont="1" applyBorder="1" applyAlignment="1">
      <alignment vertical="center"/>
    </xf>
    <xf numFmtId="4" fontId="29" fillId="0" borderId="172" xfId="63" applyNumberFormat="1" applyFont="1" applyBorder="1" applyAlignment="1">
      <alignment vertical="center"/>
    </xf>
    <xf numFmtId="4" fontId="29" fillId="0" borderId="167" xfId="63" applyNumberFormat="1" applyFont="1" applyBorder="1" applyAlignment="1">
      <alignment vertical="center"/>
    </xf>
    <xf numFmtId="4" fontId="29" fillId="0" borderId="173" xfId="63" applyNumberFormat="1" applyFont="1" applyBorder="1" applyAlignment="1">
      <alignment vertical="center"/>
    </xf>
    <xf numFmtId="4" fontId="13" fillId="0" borderId="62" xfId="58" applyNumberFormat="1" applyFont="1" applyBorder="1" applyAlignment="1">
      <alignment horizontal="right" vertical="center"/>
      <protection/>
    </xf>
    <xf numFmtId="4" fontId="13" fillId="0" borderId="27" xfId="58" applyNumberFormat="1" applyFont="1" applyBorder="1" applyAlignment="1">
      <alignment horizontal="right" vertical="center"/>
      <protection/>
    </xf>
    <xf numFmtId="4" fontId="13" fillId="0" borderId="31" xfId="58" applyNumberFormat="1" applyFont="1" applyBorder="1" applyAlignment="1">
      <alignment horizontal="right" vertical="center"/>
      <protection/>
    </xf>
    <xf numFmtId="3" fontId="10" fillId="0" borderId="174" xfId="61" applyNumberFormat="1" applyFont="1" applyBorder="1" applyAlignment="1">
      <alignment horizontal="center" vertical="center"/>
      <protection/>
    </xf>
    <xf numFmtId="49" fontId="13" fillId="0" borderId="175" xfId="0" applyNumberFormat="1" applyFont="1" applyBorder="1" applyAlignment="1">
      <alignment horizontal="center" vertical="center"/>
    </xf>
    <xf numFmtId="49" fontId="13" fillId="0" borderId="176" xfId="0" applyNumberFormat="1" applyFont="1" applyBorder="1" applyAlignment="1">
      <alignment horizontal="center" vertical="center"/>
    </xf>
    <xf numFmtId="182" fontId="13" fillId="0" borderId="177" xfId="0" applyNumberFormat="1" applyFont="1" applyBorder="1" applyAlignment="1">
      <alignment vertical="center"/>
    </xf>
    <xf numFmtId="4" fontId="1" fillId="33" borderId="17" xfId="60" applyNumberFormat="1" applyFont="1" applyFill="1" applyBorder="1" applyAlignment="1">
      <alignment vertical="center"/>
    </xf>
    <xf numFmtId="183" fontId="1" fillId="33" borderId="17" xfId="60" applyNumberFormat="1" applyFont="1" applyFill="1" applyBorder="1" applyAlignment="1">
      <alignment vertical="center"/>
    </xf>
    <xf numFmtId="4" fontId="10" fillId="0" borderId="157" xfId="60" applyNumberFormat="1" applyFont="1" applyBorder="1" applyAlignment="1">
      <alignment vertical="center"/>
    </xf>
    <xf numFmtId="4" fontId="29" fillId="0" borderId="178" xfId="60" applyNumberFormat="1" applyFont="1" applyBorder="1" applyAlignment="1">
      <alignment vertical="center"/>
    </xf>
    <xf numFmtId="4" fontId="10" fillId="0" borderId="179" xfId="61" applyNumberFormat="1" applyFont="1" applyBorder="1" applyAlignment="1">
      <alignment vertical="center" wrapText="1"/>
      <protection/>
    </xf>
    <xf numFmtId="4" fontId="10" fillId="0" borderId="179" xfId="61" applyNumberFormat="1" applyFont="1" applyBorder="1" applyAlignment="1">
      <alignment horizontal="center" vertical="center"/>
      <protection/>
    </xf>
    <xf numFmtId="0" fontId="10" fillId="0" borderId="179" xfId="61" applyNumberFormat="1" applyFont="1" applyBorder="1" applyAlignment="1">
      <alignment horizontal="center" vertical="center"/>
      <protection/>
    </xf>
    <xf numFmtId="4" fontId="29" fillId="0" borderId="179" xfId="60" applyNumberFormat="1" applyFont="1" applyBorder="1" applyAlignment="1">
      <alignment vertical="center"/>
    </xf>
    <xf numFmtId="4" fontId="29" fillId="0" borderId="180" xfId="60" applyNumberFormat="1" applyFont="1" applyBorder="1" applyAlignment="1">
      <alignment vertical="center"/>
    </xf>
    <xf numFmtId="4" fontId="10" fillId="0" borderId="85" xfId="60" applyNumberFormat="1" applyFont="1" applyBorder="1" applyAlignment="1" quotePrefix="1">
      <alignment horizontal="center" vertical="center"/>
    </xf>
    <xf numFmtId="4" fontId="10" fillId="0" borderId="86" xfId="61" applyNumberFormat="1" applyFont="1" applyBorder="1" applyAlignment="1">
      <alignment horizontal="center" vertical="center"/>
      <protection/>
    </xf>
    <xf numFmtId="4" fontId="10" fillId="35" borderId="0" xfId="58" applyNumberFormat="1" applyFont="1" applyFill="1" applyBorder="1" applyAlignment="1">
      <alignment vertical="center"/>
      <protection/>
    </xf>
    <xf numFmtId="4" fontId="10" fillId="0" borderId="0" xfId="58" applyNumberFormat="1" applyFont="1" applyBorder="1" applyAlignment="1">
      <alignment vertical="center" wrapText="1"/>
      <protection/>
    </xf>
    <xf numFmtId="3" fontId="10" fillId="0" borderId="0" xfId="58" applyNumberFormat="1" applyFont="1" applyBorder="1" applyAlignment="1">
      <alignment horizontal="center" vertical="center"/>
      <protection/>
    </xf>
    <xf numFmtId="4" fontId="10" fillId="0" borderId="0" xfId="58" applyNumberFormat="1" applyFont="1" applyBorder="1" applyAlignment="1">
      <alignment horizontal="right" vertical="center"/>
      <protection/>
    </xf>
    <xf numFmtId="4" fontId="10" fillId="0" borderId="125" xfId="0" applyNumberFormat="1" applyFont="1" applyBorder="1" applyAlignment="1">
      <alignment horizontal="center" vertical="center"/>
    </xf>
    <xf numFmtId="4" fontId="10" fillId="0" borderId="118" xfId="0" applyNumberFormat="1" applyFont="1" applyBorder="1" applyAlignment="1">
      <alignment horizontal="center" vertical="center"/>
    </xf>
    <xf numFmtId="4" fontId="0" fillId="0" borderId="128" xfId="0" applyNumberFormat="1" applyBorder="1" applyAlignment="1">
      <alignment horizontal="center" vertical="center"/>
    </xf>
    <xf numFmtId="4" fontId="0" fillId="0" borderId="129" xfId="0" applyNumberForma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157" xfId="0" applyNumberFormat="1" applyFont="1" applyBorder="1" applyAlignment="1">
      <alignment horizontal="center" vertical="center"/>
    </xf>
    <xf numFmtId="4" fontId="1" fillId="33" borderId="0" xfId="57" applyNumberFormat="1" applyFont="1" applyFill="1" applyBorder="1" applyAlignment="1">
      <alignment horizontal="center" vertical="center"/>
    </xf>
    <xf numFmtId="4" fontId="1" fillId="33" borderId="17" xfId="57" applyNumberFormat="1" applyFont="1" applyFill="1" applyBorder="1" applyAlignment="1">
      <alignment horizontal="center" vertical="center"/>
    </xf>
    <xf numFmtId="183" fontId="1" fillId="33" borderId="0" xfId="57" applyNumberFormat="1" applyFont="1" applyFill="1" applyBorder="1" applyAlignment="1">
      <alignment horizontal="center" vertical="center"/>
    </xf>
    <xf numFmtId="183" fontId="1" fillId="33" borderId="17" xfId="57" applyNumberFormat="1" applyFont="1" applyFill="1" applyBorder="1" applyAlignment="1">
      <alignment horizontal="center" vertical="center"/>
    </xf>
    <xf numFmtId="4" fontId="10" fillId="0" borderId="179" xfId="0" applyNumberFormat="1" applyFont="1" applyBorder="1" applyAlignment="1">
      <alignment horizontal="center" vertical="center"/>
    </xf>
    <xf numFmtId="4" fontId="10" fillId="0" borderId="181" xfId="0" applyNumberFormat="1" applyFont="1" applyBorder="1" applyAlignment="1">
      <alignment horizontal="center" vertical="center"/>
    </xf>
    <xf numFmtId="4" fontId="10" fillId="0" borderId="182" xfId="0" applyNumberFormat="1" applyFont="1" applyBorder="1" applyAlignment="1">
      <alignment horizontal="center" vertical="center"/>
    </xf>
    <xf numFmtId="4" fontId="10" fillId="0" borderId="90" xfId="0" applyNumberFormat="1" applyFont="1" applyBorder="1" applyAlignment="1">
      <alignment horizontal="center" vertical="center"/>
    </xf>
    <xf numFmtId="4" fontId="10" fillId="0" borderId="83" xfId="0" applyNumberFormat="1" applyFont="1" applyBorder="1" applyAlignment="1">
      <alignment horizontal="center" vertical="center"/>
    </xf>
    <xf numFmtId="4" fontId="10" fillId="0" borderId="86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5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0" fillId="0" borderId="89" xfId="0" applyNumberFormat="1" applyFont="1" applyBorder="1" applyAlignment="1" quotePrefix="1">
      <alignment horizontal="center" vertical="center"/>
    </xf>
    <xf numFmtId="4" fontId="10" fillId="0" borderId="91" xfId="0" applyNumberFormat="1" applyFont="1" applyBorder="1" applyAlignment="1" quotePrefix="1">
      <alignment horizontal="center" vertical="center"/>
    </xf>
    <xf numFmtId="4" fontId="10" fillId="0" borderId="121" xfId="0" applyNumberFormat="1" applyFont="1" applyBorder="1" applyAlignment="1">
      <alignment horizontal="center" vertical="center"/>
    </xf>
    <xf numFmtId="4" fontId="10" fillId="0" borderId="122" xfId="0" applyNumberFormat="1" applyFont="1" applyBorder="1" applyAlignment="1">
      <alignment horizontal="center" vertical="center"/>
    </xf>
    <xf numFmtId="4" fontId="10" fillId="0" borderId="98" xfId="0" applyNumberFormat="1" applyFont="1" applyBorder="1" applyAlignment="1">
      <alignment horizontal="center" vertical="center"/>
    </xf>
    <xf numFmtId="4" fontId="10" fillId="0" borderId="94" xfId="0" applyNumberFormat="1" applyFont="1" applyBorder="1" applyAlignment="1">
      <alignment horizontal="center" vertical="center"/>
    </xf>
    <xf numFmtId="4" fontId="11" fillId="33" borderId="0" xfId="57" applyNumberFormat="1" applyFont="1" applyFill="1" applyBorder="1" applyAlignment="1">
      <alignment horizontal="center" vertical="center"/>
    </xf>
    <xf numFmtId="183" fontId="11" fillId="33" borderId="0" xfId="57" applyNumberFormat="1" applyFont="1" applyFill="1" applyBorder="1" applyAlignment="1">
      <alignment horizontal="center" vertical="center"/>
    </xf>
    <xf numFmtId="183" fontId="11" fillId="33" borderId="17" xfId="57" applyNumberFormat="1" applyFont="1" applyFill="1" applyBorder="1" applyAlignment="1">
      <alignment horizontal="center" vertical="center"/>
    </xf>
    <xf numFmtId="4" fontId="10" fillId="0" borderId="8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5" fillId="0" borderId="121" xfId="0" applyNumberFormat="1" applyFont="1" applyBorder="1" applyAlignment="1">
      <alignment horizontal="left" vertical="center"/>
    </xf>
    <xf numFmtId="4" fontId="15" fillId="0" borderId="125" xfId="0" applyNumberFormat="1" applyFont="1" applyBorder="1" applyAlignment="1">
      <alignment horizontal="left" vertical="center"/>
    </xf>
    <xf numFmtId="4" fontId="29" fillId="0" borderId="123" xfId="0" applyNumberFormat="1" applyFont="1" applyBorder="1" applyAlignment="1">
      <alignment horizontal="right" vertical="center"/>
    </xf>
    <xf numFmtId="4" fontId="29" fillId="0" borderId="126" xfId="0" applyNumberFormat="1" applyFont="1" applyBorder="1" applyAlignment="1">
      <alignment horizontal="right" vertical="center"/>
    </xf>
    <xf numFmtId="4" fontId="10" fillId="0" borderId="92" xfId="0" applyNumberFormat="1" applyFont="1" applyBorder="1" applyAlignment="1">
      <alignment horizontal="center" vertical="center"/>
    </xf>
    <xf numFmtId="4" fontId="1" fillId="33" borderId="13" xfId="57" applyNumberFormat="1" applyFont="1" applyFill="1" applyBorder="1" applyAlignment="1">
      <alignment horizontal="center" vertical="center"/>
    </xf>
    <xf numFmtId="4" fontId="22" fillId="33" borderId="13" xfId="57" applyNumberFormat="1" applyFont="1" applyFill="1" applyBorder="1" applyAlignment="1">
      <alignment horizontal="center" vertical="center"/>
    </xf>
    <xf numFmtId="4" fontId="22" fillId="33" borderId="0" xfId="57" applyNumberFormat="1" applyFont="1" applyFill="1" applyBorder="1" applyAlignment="1">
      <alignment horizontal="center" vertical="center"/>
    </xf>
    <xf numFmtId="4" fontId="1" fillId="33" borderId="15" xfId="57" applyNumberFormat="1" applyFont="1" applyFill="1" applyBorder="1" applyAlignment="1">
      <alignment horizontal="center" vertical="center"/>
    </xf>
    <xf numFmtId="4" fontId="10" fillId="0" borderId="83" xfId="0" applyNumberFormat="1" applyFont="1" applyBorder="1" applyAlignment="1">
      <alignment vertical="center"/>
    </xf>
    <xf numFmtId="4" fontId="10" fillId="0" borderId="98" xfId="0" applyNumberFormat="1" applyFont="1" applyBorder="1" applyAlignment="1">
      <alignment vertical="center"/>
    </xf>
    <xf numFmtId="4" fontId="10" fillId="0" borderId="86" xfId="0" applyNumberFormat="1" applyFont="1" applyBorder="1" applyAlignment="1">
      <alignment vertical="center"/>
    </xf>
    <xf numFmtId="4" fontId="10" fillId="0" borderId="183" xfId="0" applyNumberFormat="1" applyFont="1" applyBorder="1" applyAlignment="1">
      <alignment horizontal="center" vertical="center"/>
    </xf>
    <xf numFmtId="4" fontId="10" fillId="0" borderId="184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0" fillId="0" borderId="79" xfId="0" applyNumberFormat="1" applyFont="1" applyBorder="1" applyAlignment="1" quotePrefix="1">
      <alignment horizontal="center" vertical="center"/>
    </xf>
    <xf numFmtId="4" fontId="11" fillId="33" borderId="17" xfId="57" applyNumberFormat="1" applyFont="1" applyFill="1" applyBorder="1" applyAlignment="1">
      <alignment horizontal="center" vertical="center"/>
    </xf>
    <xf numFmtId="4" fontId="10" fillId="0" borderId="102" xfId="0" applyNumberFormat="1" applyFont="1" applyBorder="1" applyAlignment="1">
      <alignment horizontal="center" vertical="center"/>
    </xf>
    <xf numFmtId="4" fontId="11" fillId="33" borderId="13" xfId="57" applyNumberFormat="1" applyFont="1" applyFill="1" applyBorder="1" applyAlignment="1">
      <alignment horizontal="center" vertical="center"/>
    </xf>
    <xf numFmtId="4" fontId="10" fillId="0" borderId="90" xfId="0" applyNumberFormat="1" applyFont="1" applyBorder="1" applyAlignment="1">
      <alignment vertical="center"/>
    </xf>
    <xf numFmtId="4" fontId="9" fillId="33" borderId="13" xfId="57" applyNumberFormat="1" applyFont="1" applyFill="1" applyBorder="1" applyAlignment="1">
      <alignment horizontal="center" vertical="center"/>
    </xf>
    <xf numFmtId="4" fontId="9" fillId="33" borderId="0" xfId="57" applyNumberFormat="1" applyFont="1" applyFill="1" applyBorder="1" applyAlignment="1">
      <alignment horizontal="center" vertical="center"/>
    </xf>
    <xf numFmtId="4" fontId="10" fillId="0" borderId="185" xfId="0" applyNumberFormat="1" applyFont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center" vertical="center"/>
    </xf>
    <xf numFmtId="4" fontId="22" fillId="33" borderId="0" xfId="0" applyNumberFormat="1" applyFont="1" applyFill="1" applyBorder="1" applyAlignment="1">
      <alignment horizontal="center" vertical="center"/>
    </xf>
    <xf numFmtId="183" fontId="1" fillId="33" borderId="0" xfId="0" applyNumberFormat="1" applyFont="1" applyFill="1" applyBorder="1" applyAlignment="1">
      <alignment horizontal="center" vertical="center"/>
    </xf>
    <xf numFmtId="183" fontId="1" fillId="33" borderId="17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0" fillId="0" borderId="9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56" fillId="0" borderId="20" xfId="0" applyNumberFormat="1" applyFont="1" applyBorder="1" applyAlignment="1">
      <alignment horizontal="center" vertical="center"/>
    </xf>
    <xf numFmtId="4" fontId="56" fillId="0" borderId="157" xfId="0" applyNumberFormat="1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57" fillId="33" borderId="13" xfId="0" applyNumberFormat="1" applyFont="1" applyFill="1" applyBorder="1" applyAlignment="1">
      <alignment horizontal="center" vertical="center"/>
    </xf>
    <xf numFmtId="4" fontId="57" fillId="33" borderId="0" xfId="0" applyNumberFormat="1" applyFont="1" applyFill="1" applyBorder="1" applyAlignment="1">
      <alignment horizontal="center" vertical="center"/>
    </xf>
    <xf numFmtId="0" fontId="57" fillId="33" borderId="0" xfId="57" applyNumberFormat="1" applyFont="1" applyFill="1" applyBorder="1" applyAlignment="1">
      <alignment horizontal="center" vertical="center"/>
    </xf>
    <xf numFmtId="195" fontId="57" fillId="33" borderId="0" xfId="0" applyNumberFormat="1" applyFont="1" applyFill="1" applyBorder="1" applyAlignment="1">
      <alignment horizontal="center" vertical="center" wrapText="1"/>
    </xf>
    <xf numFmtId="195" fontId="57" fillId="33" borderId="17" xfId="0" applyNumberFormat="1" applyFont="1" applyFill="1" applyBorder="1" applyAlignment="1">
      <alignment horizontal="center" vertical="center" wrapText="1"/>
    </xf>
    <xf numFmtId="4" fontId="11" fillId="33" borderId="13" xfId="58" applyNumberFormat="1" applyFont="1" applyFill="1" applyBorder="1" applyAlignment="1">
      <alignment horizontal="center" vertical="center"/>
      <protection/>
    </xf>
    <xf numFmtId="4" fontId="11" fillId="33" borderId="0" xfId="58" applyNumberFormat="1" applyFont="1" applyFill="1" applyBorder="1" applyAlignment="1">
      <alignment horizontal="center" vertical="center"/>
      <protection/>
    </xf>
    <xf numFmtId="0" fontId="11" fillId="33" borderId="0" xfId="57" applyNumberFormat="1" applyFont="1" applyFill="1" applyBorder="1" applyAlignment="1">
      <alignment horizontal="center" vertical="center"/>
    </xf>
    <xf numFmtId="4" fontId="11" fillId="33" borderId="17" xfId="58" applyNumberFormat="1" applyFont="1" applyFill="1" applyBorder="1" applyAlignment="1">
      <alignment horizontal="center" vertical="center"/>
      <protection/>
    </xf>
    <xf numFmtId="183" fontId="11" fillId="33" borderId="0" xfId="58" applyNumberFormat="1" applyFont="1" applyFill="1" applyBorder="1" applyAlignment="1">
      <alignment horizontal="center" vertical="center"/>
      <protection/>
    </xf>
    <xf numFmtId="183" fontId="11" fillId="33" borderId="17" xfId="58" applyNumberFormat="1" applyFont="1" applyFill="1" applyBorder="1" applyAlignment="1">
      <alignment horizontal="center" vertical="center"/>
      <protection/>
    </xf>
    <xf numFmtId="4" fontId="1" fillId="0" borderId="20" xfId="58" applyNumberFormat="1" applyFont="1" applyBorder="1" applyAlignment="1">
      <alignment horizontal="center" vertical="center"/>
      <protection/>
    </xf>
    <xf numFmtId="4" fontId="1" fillId="0" borderId="157" xfId="58" applyNumberFormat="1" applyFont="1" applyBorder="1" applyAlignment="1">
      <alignment horizontal="center" vertical="center"/>
      <protection/>
    </xf>
    <xf numFmtId="4" fontId="1" fillId="0" borderId="19" xfId="58" applyNumberFormat="1" applyFont="1" applyBorder="1" applyAlignment="1">
      <alignment horizontal="center" vertical="center"/>
      <protection/>
    </xf>
    <xf numFmtId="4" fontId="1" fillId="0" borderId="186" xfId="58" applyNumberFormat="1" applyFont="1" applyBorder="1" applyAlignment="1">
      <alignment horizontal="center" vertical="center"/>
      <protection/>
    </xf>
    <xf numFmtId="4" fontId="1" fillId="0" borderId="187" xfId="58" applyNumberFormat="1" applyFont="1" applyBorder="1" applyAlignment="1">
      <alignment horizontal="center" vertical="center"/>
      <protection/>
    </xf>
    <xf numFmtId="4" fontId="1" fillId="0" borderId="188" xfId="58" applyNumberFormat="1" applyFont="1" applyBorder="1" applyAlignment="1">
      <alignment horizontal="center" vertical="center"/>
      <protection/>
    </xf>
    <xf numFmtId="4" fontId="11" fillId="33" borderId="17" xfId="0" applyNumberFormat="1" applyFont="1" applyFill="1" applyBorder="1" applyAlignment="1">
      <alignment horizontal="center" vertical="center"/>
    </xf>
    <xf numFmtId="183" fontId="11" fillId="33" borderId="0" xfId="0" applyNumberFormat="1" applyFont="1" applyFill="1" applyBorder="1" applyAlignment="1">
      <alignment horizontal="center" vertical="center"/>
    </xf>
    <xf numFmtId="183" fontId="11" fillId="33" borderId="17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 wrapText="1"/>
    </xf>
    <xf numFmtId="4" fontId="75" fillId="33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79" xfId="57" applyNumberFormat="1" applyFont="1" applyBorder="1" applyAlignment="1">
      <alignment horizontal="center" vertical="center"/>
    </xf>
    <xf numFmtId="4" fontId="10" fillId="0" borderId="80" xfId="57" applyNumberFormat="1" applyFont="1" applyBorder="1" applyAlignment="1">
      <alignment horizontal="center" vertical="center"/>
    </xf>
    <xf numFmtId="4" fontId="10" fillId="0" borderId="85" xfId="57" applyNumberFormat="1" applyFont="1" applyBorder="1" applyAlignment="1">
      <alignment horizontal="center" vertical="center"/>
    </xf>
    <xf numFmtId="4" fontId="10" fillId="0" borderId="86" xfId="57" applyNumberFormat="1" applyFont="1" applyBorder="1" applyAlignment="1">
      <alignment horizontal="center" vertical="center"/>
    </xf>
    <xf numFmtId="4" fontId="9" fillId="0" borderId="20" xfId="57" applyNumberFormat="1" applyFont="1" applyBorder="1" applyAlignment="1">
      <alignment horizontal="center" vertical="center"/>
    </xf>
    <xf numFmtId="4" fontId="9" fillId="0" borderId="19" xfId="57" applyNumberFormat="1" applyFont="1" applyBorder="1" applyAlignment="1">
      <alignment horizontal="center" vertical="center"/>
    </xf>
    <xf numFmtId="4" fontId="9" fillId="0" borderId="49" xfId="57" applyNumberFormat="1" applyFont="1" applyBorder="1" applyAlignment="1">
      <alignment horizontal="center" vertical="center"/>
    </xf>
    <xf numFmtId="4" fontId="9" fillId="0" borderId="50" xfId="57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left" vertical="center" wrapText="1"/>
    </xf>
    <xf numFmtId="4" fontId="24" fillId="0" borderId="17" xfId="0" applyNumberFormat="1" applyFont="1" applyBorder="1" applyAlignment="1">
      <alignment horizontal="left" vertical="center" wrapText="1"/>
    </xf>
    <xf numFmtId="4" fontId="9" fillId="0" borderId="18" xfId="59" applyNumberFormat="1" applyFont="1" applyBorder="1" applyAlignment="1">
      <alignment horizontal="center" vertical="center"/>
      <protection/>
    </xf>
    <xf numFmtId="4" fontId="9" fillId="0" borderId="18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9" fillId="0" borderId="20" xfId="59" applyNumberFormat="1" applyFont="1" applyBorder="1" applyAlignment="1">
      <alignment horizontal="center" vertical="center"/>
      <protection/>
    </xf>
    <xf numFmtId="4" fontId="9" fillId="0" borderId="157" xfId="59" applyNumberFormat="1" applyFont="1" applyBorder="1" applyAlignment="1">
      <alignment horizontal="center" vertical="center"/>
      <protection/>
    </xf>
    <xf numFmtId="4" fontId="9" fillId="0" borderId="19" xfId="59" applyNumberFormat="1" applyFont="1" applyBorder="1" applyAlignment="1">
      <alignment horizontal="center" vertical="center"/>
      <protection/>
    </xf>
    <xf numFmtId="4" fontId="10" fillId="0" borderId="85" xfId="0" applyNumberFormat="1" applyFont="1" applyBorder="1" applyAlignment="1">
      <alignment horizontal="center" vertical="center"/>
    </xf>
    <xf numFmtId="4" fontId="10" fillId="0" borderId="79" xfId="0" applyNumberFormat="1" applyFont="1" applyBorder="1" applyAlignment="1">
      <alignment horizontal="center" vertical="center"/>
    </xf>
    <xf numFmtId="4" fontId="10" fillId="0" borderId="82" xfId="0" applyNumberFormat="1" applyFont="1" applyBorder="1" applyAlignment="1" quotePrefix="1">
      <alignment horizontal="center" vertical="center"/>
    </xf>
    <xf numFmtId="4" fontId="10" fillId="0" borderId="83" xfId="0" applyNumberFormat="1" applyFont="1" applyBorder="1" applyAlignment="1" quotePrefix="1">
      <alignment horizontal="center" vertical="center"/>
    </xf>
    <xf numFmtId="4" fontId="11" fillId="33" borderId="15" xfId="57" applyNumberFormat="1" applyFont="1" applyFill="1" applyBorder="1" applyAlignment="1">
      <alignment horizontal="center" vertical="center"/>
    </xf>
    <xf numFmtId="183" fontId="11" fillId="33" borderId="15" xfId="57" applyNumberFormat="1" applyFont="1" applyFill="1" applyBorder="1" applyAlignment="1" quotePrefix="1">
      <alignment horizontal="center" vertical="center"/>
    </xf>
    <xf numFmtId="183" fontId="11" fillId="33" borderId="16" xfId="57" applyNumberFormat="1" applyFont="1" applyFill="1" applyBorder="1" applyAlignment="1" quotePrefix="1">
      <alignment horizontal="center" vertical="center"/>
    </xf>
    <xf numFmtId="4" fontId="9" fillId="0" borderId="49" xfId="59" applyNumberFormat="1" applyFont="1" applyBorder="1" applyAlignment="1">
      <alignment horizontal="center" vertical="center"/>
      <protection/>
    </xf>
    <xf numFmtId="4" fontId="9" fillId="0" borderId="50" xfId="59" applyNumberFormat="1" applyFont="1" applyBorder="1" applyAlignment="1">
      <alignment horizontal="center" vertical="center"/>
      <protection/>
    </xf>
    <xf numFmtId="4" fontId="10" fillId="0" borderId="183" xfId="59" applyNumberFormat="1" applyFont="1" applyBorder="1" applyAlignment="1">
      <alignment horizontal="center" vertical="center"/>
      <protection/>
    </xf>
    <xf numFmtId="4" fontId="10" fillId="0" borderId="189" xfId="59" applyNumberFormat="1" applyFont="1" applyBorder="1" applyAlignment="1">
      <alignment horizontal="center" vertical="center"/>
      <protection/>
    </xf>
    <xf numFmtId="4" fontId="9" fillId="0" borderId="34" xfId="59" applyNumberFormat="1" applyFont="1" applyBorder="1" applyAlignment="1">
      <alignment horizontal="center" vertical="center"/>
      <protection/>
    </xf>
    <xf numFmtId="4" fontId="9" fillId="0" borderId="190" xfId="59" applyNumberFormat="1" applyFont="1" applyBorder="1" applyAlignment="1">
      <alignment horizontal="center" vertical="center"/>
      <protection/>
    </xf>
    <xf numFmtId="4" fontId="10" fillId="0" borderId="82" xfId="59" applyNumberFormat="1" applyFont="1" applyBorder="1" applyAlignment="1">
      <alignment horizontal="center" vertical="center"/>
      <protection/>
    </xf>
    <xf numFmtId="4" fontId="10" fillId="0" borderId="83" xfId="59" applyNumberFormat="1" applyFont="1" applyBorder="1" applyAlignment="1">
      <alignment horizontal="center" vertical="center"/>
      <protection/>
    </xf>
    <xf numFmtId="4" fontId="9" fillId="0" borderId="106" xfId="0" applyNumberFormat="1" applyFont="1" applyBorder="1" applyAlignment="1">
      <alignment horizontal="center" vertical="center"/>
    </xf>
    <xf numFmtId="4" fontId="9" fillId="0" borderId="191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/>
    </xf>
    <xf numFmtId="4" fontId="9" fillId="0" borderId="10" xfId="59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17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4" fontId="9" fillId="0" borderId="17" xfId="0" applyNumberFormat="1" applyFont="1" applyBorder="1" applyAlignment="1">
      <alignment horizontal="left" vertical="center" wrapText="1"/>
    </xf>
    <xf numFmtId="4" fontId="9" fillId="0" borderId="18" xfId="57" applyNumberFormat="1" applyFont="1" applyBorder="1" applyAlignment="1">
      <alignment horizontal="center" vertical="center"/>
    </xf>
    <xf numFmtId="4" fontId="9" fillId="0" borderId="106" xfId="57" applyNumberFormat="1" applyFont="1" applyBorder="1" applyAlignment="1">
      <alignment horizontal="center" vertical="center"/>
    </xf>
    <xf numFmtId="4" fontId="9" fillId="0" borderId="191" xfId="57" applyNumberFormat="1" applyFont="1" applyBorder="1" applyAlignment="1">
      <alignment horizontal="center" vertical="center"/>
    </xf>
    <xf numFmtId="4" fontId="29" fillId="0" borderId="84" xfId="57" applyNumberFormat="1" applyFont="1" applyBorder="1" applyAlignment="1">
      <alignment horizontal="right" vertical="center"/>
    </xf>
    <xf numFmtId="4" fontId="10" fillId="0" borderId="10" xfId="57" applyNumberFormat="1" applyFont="1" applyBorder="1" applyAlignment="1">
      <alignment horizontal="center" vertical="center"/>
    </xf>
    <xf numFmtId="4" fontId="10" fillId="0" borderId="11" xfId="57" applyNumberFormat="1" applyFont="1" applyBorder="1" applyAlignment="1">
      <alignment horizontal="center" vertical="center"/>
    </xf>
    <xf numFmtId="4" fontId="10" fillId="0" borderId="12" xfId="57" applyNumberFormat="1" applyFont="1" applyBorder="1" applyAlignment="1">
      <alignment horizontal="center" vertical="center"/>
    </xf>
    <xf numFmtId="4" fontId="10" fillId="0" borderId="14" xfId="57" applyNumberFormat="1" applyFont="1" applyBorder="1" applyAlignment="1">
      <alignment horizontal="center" vertical="center"/>
    </xf>
    <xf numFmtId="4" fontId="10" fillId="0" borderId="15" xfId="57" applyNumberFormat="1" applyFont="1" applyBorder="1" applyAlignment="1">
      <alignment horizontal="center" vertical="center"/>
    </xf>
    <xf numFmtId="4" fontId="10" fillId="0" borderId="16" xfId="57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90" xfId="0" applyNumberFormat="1" applyFont="1" applyBorder="1" applyAlignment="1">
      <alignment horizontal="center" vertical="center"/>
    </xf>
    <xf numFmtId="4" fontId="10" fillId="0" borderId="18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22" fillId="33" borderId="14" xfId="57" applyNumberFormat="1" applyFont="1" applyFill="1" applyBorder="1" applyAlignment="1">
      <alignment horizontal="center" vertical="center"/>
    </xf>
    <xf numFmtId="4" fontId="22" fillId="33" borderId="15" xfId="57" applyNumberFormat="1" applyFont="1" applyFill="1" applyBorder="1" applyAlignment="1">
      <alignment horizontal="center" vertical="center"/>
    </xf>
    <xf numFmtId="4" fontId="9" fillId="0" borderId="18" xfId="57" applyNumberFormat="1" applyFont="1" applyBorder="1" applyAlignment="1">
      <alignment horizontal="right" vertical="center"/>
    </xf>
    <xf numFmtId="0" fontId="9" fillId="0" borderId="18" xfId="57" applyNumberFormat="1" applyFont="1" applyBorder="1" applyAlignment="1">
      <alignment horizontal="center" vertical="center"/>
    </xf>
    <xf numFmtId="183" fontId="11" fillId="33" borderId="0" xfId="57" applyNumberFormat="1" applyFont="1" applyFill="1" applyBorder="1" applyAlignment="1" quotePrefix="1">
      <alignment horizontal="center" vertical="center"/>
    </xf>
    <xf numFmtId="183" fontId="11" fillId="33" borderId="17" xfId="57" applyNumberFormat="1" applyFont="1" applyFill="1" applyBorder="1" applyAlignment="1" quotePrefix="1">
      <alignment horizontal="center" vertical="center"/>
    </xf>
    <xf numFmtId="4" fontId="11" fillId="33" borderId="0" xfId="59" applyNumberFormat="1" applyFont="1" applyFill="1" applyBorder="1" applyAlignment="1">
      <alignment horizontal="center" vertical="center"/>
      <protection/>
    </xf>
    <xf numFmtId="4" fontId="11" fillId="33" borderId="17" xfId="59" applyNumberFormat="1" applyFont="1" applyFill="1" applyBorder="1" applyAlignment="1">
      <alignment horizontal="center" vertical="center"/>
      <protection/>
    </xf>
    <xf numFmtId="183" fontId="11" fillId="33" borderId="0" xfId="59" applyNumberFormat="1" applyFont="1" applyFill="1" applyBorder="1" applyAlignment="1">
      <alignment horizontal="center" vertical="center"/>
      <protection/>
    </xf>
    <xf numFmtId="183" fontId="11" fillId="33" borderId="17" xfId="59" applyNumberFormat="1" applyFont="1" applyFill="1" applyBorder="1" applyAlignment="1">
      <alignment horizontal="center" vertical="center"/>
      <protection/>
    </xf>
    <xf numFmtId="4" fontId="11" fillId="33" borderId="13" xfId="59" applyNumberFormat="1" applyFont="1" applyFill="1" applyBorder="1" applyAlignment="1">
      <alignment horizontal="center" vertical="center"/>
      <protection/>
    </xf>
    <xf numFmtId="4" fontId="9" fillId="33" borderId="13" xfId="59" applyNumberFormat="1" applyFont="1" applyFill="1" applyBorder="1" applyAlignment="1">
      <alignment horizontal="center" vertical="center"/>
      <protection/>
    </xf>
    <xf numFmtId="4" fontId="9" fillId="33" borderId="0" xfId="59" applyNumberFormat="1" applyFont="1" applyFill="1" applyBorder="1" applyAlignment="1">
      <alignment horizontal="center" vertical="center"/>
      <protection/>
    </xf>
    <xf numFmtId="4" fontId="29" fillId="0" borderId="81" xfId="57" applyNumberFormat="1" applyFont="1" applyBorder="1" applyAlignment="1">
      <alignment horizontal="right" vertical="center"/>
    </xf>
    <xf numFmtId="4" fontId="29" fillId="0" borderId="83" xfId="0" applyNumberFormat="1" applyFont="1" applyBorder="1" applyAlignment="1">
      <alignment vertical="center"/>
    </xf>
    <xf numFmtId="4" fontId="29" fillId="0" borderId="84" xfId="0" applyNumberFormat="1" applyFont="1" applyBorder="1" applyAlignment="1">
      <alignment vertical="center"/>
    </xf>
    <xf numFmtId="4" fontId="29" fillId="0" borderId="83" xfId="0" applyNumberFormat="1" applyFont="1" applyBorder="1" applyAlignment="1">
      <alignment horizontal="right" vertical="center"/>
    </xf>
    <xf numFmtId="4" fontId="29" fillId="0" borderId="84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29" fillId="0" borderId="80" xfId="0" applyNumberFormat="1" applyFont="1" applyBorder="1" applyAlignment="1">
      <alignment vertical="center"/>
    </xf>
    <xf numFmtId="4" fontId="29" fillId="0" borderId="81" xfId="0" applyNumberFormat="1" applyFont="1" applyBorder="1" applyAlignment="1">
      <alignment vertical="center"/>
    </xf>
    <xf numFmtId="4" fontId="10" fillId="0" borderId="157" xfId="0" applyNumberFormat="1" applyFont="1" applyBorder="1" applyAlignment="1">
      <alignment vertical="center"/>
    </xf>
    <xf numFmtId="4" fontId="29" fillId="0" borderId="83" xfId="57" applyNumberFormat="1" applyFont="1" applyBorder="1" applyAlignment="1">
      <alignment horizontal="right" vertical="center"/>
    </xf>
    <xf numFmtId="4" fontId="29" fillId="0" borderId="80" xfId="57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vertical="center"/>
    </xf>
    <xf numFmtId="4" fontId="29" fillId="0" borderId="86" xfId="57" applyNumberFormat="1" applyFont="1" applyBorder="1" applyAlignment="1">
      <alignment horizontal="right" vertical="center"/>
    </xf>
    <xf numFmtId="4" fontId="29" fillId="0" borderId="86" xfId="0" applyNumberFormat="1" applyFont="1" applyBorder="1" applyAlignment="1">
      <alignment vertical="center"/>
    </xf>
    <xf numFmtId="4" fontId="29" fillId="0" borderId="87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85" xfId="0" applyNumberFormat="1" applyFont="1" applyBorder="1" applyAlignment="1" quotePrefix="1">
      <alignment horizontal="center" vertical="center"/>
    </xf>
    <xf numFmtId="4" fontId="29" fillId="0" borderId="87" xfId="57" applyNumberFormat="1" applyFont="1" applyBorder="1" applyAlignment="1">
      <alignment horizontal="right" vertical="center"/>
    </xf>
    <xf numFmtId="4" fontId="10" fillId="0" borderId="0" xfId="57" applyNumberFormat="1" applyFont="1" applyBorder="1" applyAlignment="1">
      <alignment horizontal="right" vertical="center"/>
    </xf>
    <xf numFmtId="4" fontId="10" fillId="0" borderId="0" xfId="0" applyNumberFormat="1" applyFont="1" applyBorder="1" applyAlignment="1" quotePrefix="1">
      <alignment horizontal="center" vertical="center"/>
    </xf>
    <xf numFmtId="4" fontId="10" fillId="0" borderId="0" xfId="57" applyNumberFormat="1" applyFont="1" applyBorder="1" applyAlignment="1">
      <alignment horizontal="center" vertical="center"/>
    </xf>
    <xf numFmtId="4" fontId="9" fillId="0" borderId="157" xfId="57" applyNumberFormat="1" applyFont="1" applyBorder="1" applyAlignment="1">
      <alignment horizontal="center" vertical="center"/>
    </xf>
    <xf numFmtId="4" fontId="10" fillId="0" borderId="82" xfId="0" applyNumberFormat="1" applyFont="1" applyBorder="1" applyAlignment="1">
      <alignment horizontal="center" vertical="center"/>
    </xf>
    <xf numFmtId="4" fontId="10" fillId="0" borderId="79" xfId="59" applyNumberFormat="1" applyFont="1" applyBorder="1" applyAlignment="1">
      <alignment horizontal="center" vertical="center"/>
      <protection/>
    </xf>
    <xf numFmtId="4" fontId="10" fillId="0" borderId="80" xfId="59" applyNumberFormat="1" applyFont="1" applyBorder="1" applyAlignment="1">
      <alignment horizontal="center" vertical="center"/>
      <protection/>
    </xf>
    <xf numFmtId="4" fontId="10" fillId="0" borderId="85" xfId="59" applyNumberFormat="1" applyFont="1" applyBorder="1" applyAlignment="1">
      <alignment horizontal="center" vertical="center"/>
      <protection/>
    </xf>
    <xf numFmtId="4" fontId="10" fillId="0" borderId="86" xfId="59" applyNumberFormat="1" applyFont="1" applyBorder="1" applyAlignment="1">
      <alignment horizontal="center" vertical="center"/>
      <protection/>
    </xf>
    <xf numFmtId="4" fontId="9" fillId="0" borderId="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" fillId="0" borderId="192" xfId="64" applyNumberFormat="1" applyFont="1" applyBorder="1" applyAlignment="1">
      <alignment horizontal="right" vertical="center"/>
      <protection/>
    </xf>
    <xf numFmtId="4" fontId="1" fillId="0" borderId="159" xfId="64" applyNumberFormat="1" applyFont="1" applyBorder="1" applyAlignment="1">
      <alignment horizontal="right" vertical="center"/>
      <protection/>
    </xf>
    <xf numFmtId="0" fontId="9" fillId="0" borderId="10" xfId="64" applyNumberFormat="1" applyFont="1" applyBorder="1" applyAlignment="1">
      <alignment horizontal="left" vertical="center" wrapText="1"/>
      <protection/>
    </xf>
    <xf numFmtId="0" fontId="9" fillId="0" borderId="11" xfId="64" applyNumberFormat="1" applyFont="1" applyBorder="1" applyAlignment="1">
      <alignment horizontal="left" vertical="center" wrapText="1"/>
      <protection/>
    </xf>
    <xf numFmtId="0" fontId="9" fillId="0" borderId="12" xfId="64" applyNumberFormat="1" applyFont="1" applyBorder="1" applyAlignment="1">
      <alignment horizontal="left" vertical="center" wrapText="1"/>
      <protection/>
    </xf>
    <xf numFmtId="0" fontId="9" fillId="0" borderId="13" xfId="64" applyNumberFormat="1" applyFont="1" applyBorder="1" applyAlignment="1">
      <alignment horizontal="left" vertical="center" wrapText="1"/>
      <protection/>
    </xf>
    <xf numFmtId="0" fontId="9" fillId="0" borderId="0" xfId="64" applyNumberFormat="1" applyFont="1" applyBorder="1" applyAlignment="1">
      <alignment horizontal="left" vertical="center" wrapText="1"/>
      <protection/>
    </xf>
    <xf numFmtId="0" fontId="9" fillId="0" borderId="17" xfId="64" applyNumberFormat="1" applyFont="1" applyBorder="1" applyAlignment="1">
      <alignment horizontal="left" vertical="center" wrapText="1"/>
      <protection/>
    </xf>
    <xf numFmtId="0" fontId="9" fillId="0" borderId="14" xfId="64" applyNumberFormat="1" applyFont="1" applyBorder="1" applyAlignment="1">
      <alignment horizontal="left" vertical="center" wrapText="1"/>
      <protection/>
    </xf>
    <xf numFmtId="0" fontId="9" fillId="0" borderId="15" xfId="64" applyNumberFormat="1" applyFont="1" applyBorder="1" applyAlignment="1">
      <alignment horizontal="left" vertical="center" wrapText="1"/>
      <protection/>
    </xf>
    <xf numFmtId="0" fontId="9" fillId="0" borderId="16" xfId="64" applyNumberFormat="1" applyFont="1" applyBorder="1" applyAlignment="1">
      <alignment horizontal="left" vertical="center" wrapText="1"/>
      <protection/>
    </xf>
    <xf numFmtId="4" fontId="1" fillId="0" borderId="192" xfId="64" applyNumberFormat="1" applyFont="1" applyBorder="1" applyAlignment="1">
      <alignment horizontal="center" vertical="center"/>
      <protection/>
    </xf>
    <xf numFmtId="4" fontId="1" fillId="0" borderId="159" xfId="64" applyNumberFormat="1" applyFont="1" applyBorder="1" applyAlignment="1">
      <alignment horizontal="center" vertical="center"/>
      <protection/>
    </xf>
    <xf numFmtId="0" fontId="9" fillId="35" borderId="10" xfId="64" applyNumberFormat="1" applyFont="1" applyFill="1" applyBorder="1" applyAlignment="1">
      <alignment horizontal="center" vertical="center"/>
      <protection/>
    </xf>
    <xf numFmtId="0" fontId="9" fillId="35" borderId="11" xfId="64" applyNumberFormat="1" applyFont="1" applyFill="1" applyBorder="1" applyAlignment="1">
      <alignment horizontal="center" vertical="center"/>
      <protection/>
    </xf>
    <xf numFmtId="0" fontId="9" fillId="35" borderId="12" xfId="64" applyNumberFormat="1" applyFont="1" applyFill="1" applyBorder="1" applyAlignment="1">
      <alignment horizontal="center" vertical="center"/>
      <protection/>
    </xf>
    <xf numFmtId="0" fontId="9" fillId="35" borderId="14" xfId="64" applyNumberFormat="1" applyFont="1" applyFill="1" applyBorder="1" applyAlignment="1">
      <alignment horizontal="center" vertical="center"/>
      <protection/>
    </xf>
    <xf numFmtId="0" fontId="9" fillId="35" borderId="15" xfId="64" applyNumberFormat="1" applyFont="1" applyFill="1" applyBorder="1" applyAlignment="1">
      <alignment horizontal="center" vertical="center"/>
      <protection/>
    </xf>
    <xf numFmtId="0" fontId="9" fillId="35" borderId="16" xfId="64" applyNumberFormat="1" applyFont="1" applyFill="1" applyBorder="1" applyAlignment="1">
      <alignment horizontal="center" vertical="center"/>
      <protection/>
    </xf>
    <xf numFmtId="4" fontId="11" fillId="34" borderId="14" xfId="64" applyNumberFormat="1" applyFont="1" applyFill="1" applyBorder="1" applyAlignment="1">
      <alignment horizontal="center" vertical="center"/>
      <protection/>
    </xf>
    <xf numFmtId="4" fontId="11" fillId="34" borderId="15" xfId="64" applyNumberFormat="1" applyFont="1" applyFill="1" applyBorder="1" applyAlignment="1">
      <alignment horizontal="center" vertical="center"/>
      <protection/>
    </xf>
    <xf numFmtId="4" fontId="1" fillId="0" borderId="10" xfId="64" applyNumberFormat="1" applyFont="1" applyBorder="1" applyAlignment="1">
      <alignment horizontal="center" vertical="center"/>
      <protection/>
    </xf>
    <xf numFmtId="4" fontId="1" fillId="0" borderId="11" xfId="64" applyNumberFormat="1" applyFont="1" applyBorder="1" applyAlignment="1">
      <alignment horizontal="center" vertical="center"/>
      <protection/>
    </xf>
    <xf numFmtId="4" fontId="1" fillId="0" borderId="12" xfId="64" applyNumberFormat="1" applyFont="1" applyBorder="1" applyAlignment="1">
      <alignment horizontal="center" vertical="center"/>
      <protection/>
    </xf>
    <xf numFmtId="4" fontId="1" fillId="0" borderId="14" xfId="64" applyNumberFormat="1" applyFont="1" applyBorder="1" applyAlignment="1">
      <alignment horizontal="center" vertical="center"/>
      <protection/>
    </xf>
    <xf numFmtId="4" fontId="1" fillId="0" borderId="15" xfId="64" applyNumberFormat="1" applyFont="1" applyBorder="1" applyAlignment="1">
      <alignment horizontal="center" vertical="center"/>
      <protection/>
    </xf>
    <xf numFmtId="4" fontId="1" fillId="0" borderId="16" xfId="64" applyNumberFormat="1" applyFont="1" applyBorder="1" applyAlignment="1">
      <alignment horizontal="center" vertical="center"/>
      <protection/>
    </xf>
    <xf numFmtId="4" fontId="10" fillId="0" borderId="169" xfId="64" applyNumberFormat="1" applyFont="1" applyBorder="1" applyAlignment="1" quotePrefix="1">
      <alignment horizontal="center" vertical="center"/>
      <protection/>
    </xf>
    <xf numFmtId="4" fontId="10" fillId="0" borderId="170" xfId="64" applyNumberFormat="1" applyFont="1" applyBorder="1" applyAlignment="1" quotePrefix="1">
      <alignment horizontal="center" vertical="center"/>
      <protection/>
    </xf>
    <xf numFmtId="4" fontId="1" fillId="34" borderId="10" xfId="64" applyNumberFormat="1" applyFont="1" applyFill="1" applyBorder="1" applyAlignment="1">
      <alignment horizontal="center" vertical="center"/>
      <protection/>
    </xf>
    <xf numFmtId="4" fontId="1" fillId="34" borderId="12" xfId="64" applyNumberFormat="1" applyFont="1" applyFill="1" applyBorder="1" applyAlignment="1">
      <alignment horizontal="center" vertical="center"/>
      <protection/>
    </xf>
    <xf numFmtId="4" fontId="1" fillId="34" borderId="14" xfId="64" applyNumberFormat="1" applyFont="1" applyFill="1" applyBorder="1" applyAlignment="1">
      <alignment horizontal="center" vertical="center"/>
      <protection/>
    </xf>
    <xf numFmtId="4" fontId="1" fillId="34" borderId="16" xfId="64" applyNumberFormat="1" applyFont="1" applyFill="1" applyBorder="1" applyAlignment="1">
      <alignment horizontal="center" vertical="center"/>
      <protection/>
    </xf>
    <xf numFmtId="4" fontId="11" fillId="34" borderId="10" xfId="64" applyNumberFormat="1" applyFont="1" applyFill="1" applyBorder="1" applyAlignment="1">
      <alignment horizontal="center" vertical="center"/>
      <protection/>
    </xf>
    <xf numFmtId="4" fontId="11" fillId="34" borderId="11" xfId="64" applyNumberFormat="1" applyFont="1" applyFill="1" applyBorder="1" applyAlignment="1">
      <alignment horizontal="center" vertical="center"/>
      <protection/>
    </xf>
    <xf numFmtId="4" fontId="1" fillId="34" borderId="11" xfId="64" applyNumberFormat="1" applyFont="1" applyFill="1" applyBorder="1" applyAlignment="1">
      <alignment horizontal="center" vertical="center"/>
      <protection/>
    </xf>
    <xf numFmtId="183" fontId="1" fillId="34" borderId="14" xfId="64" applyNumberFormat="1" applyFont="1" applyFill="1" applyBorder="1" applyAlignment="1">
      <alignment horizontal="center" vertical="center"/>
      <protection/>
    </xf>
    <xf numFmtId="183" fontId="1" fillId="34" borderId="15" xfId="64" applyNumberFormat="1" applyFont="1" applyFill="1" applyBorder="1" applyAlignment="1">
      <alignment horizontal="center" vertical="center"/>
      <protection/>
    </xf>
    <xf numFmtId="183" fontId="1" fillId="34" borderId="16" xfId="64" applyNumberFormat="1" applyFont="1" applyFill="1" applyBorder="1" applyAlignment="1">
      <alignment horizontal="center" vertical="center"/>
      <protection/>
    </xf>
    <xf numFmtId="0" fontId="22" fillId="0" borderId="14" xfId="64" applyNumberFormat="1" applyFont="1" applyBorder="1" applyAlignment="1">
      <alignment horizontal="center" vertical="center"/>
      <protection/>
    </xf>
    <xf numFmtId="0" fontId="22" fillId="0" borderId="15" xfId="64" applyNumberFormat="1" applyFont="1" applyBorder="1" applyAlignment="1">
      <alignment horizontal="center" vertical="center"/>
      <protection/>
    </xf>
    <xf numFmtId="0" fontId="22" fillId="0" borderId="16" xfId="64" applyNumberFormat="1" applyFont="1" applyBorder="1" applyAlignment="1">
      <alignment horizontal="center" vertical="center"/>
      <protection/>
    </xf>
    <xf numFmtId="4" fontId="22" fillId="0" borderId="15" xfId="64" applyNumberFormat="1" applyFont="1" applyBorder="1" applyAlignment="1">
      <alignment horizontal="center" vertical="center"/>
      <protection/>
    </xf>
    <xf numFmtId="4" fontId="22" fillId="0" borderId="16" xfId="64" applyNumberFormat="1" applyFont="1" applyBorder="1" applyAlignment="1">
      <alignment horizontal="center" vertical="center"/>
      <protection/>
    </xf>
    <xf numFmtId="4" fontId="10" fillId="0" borderId="193" xfId="64" applyNumberFormat="1" applyFont="1" applyBorder="1" applyAlignment="1" quotePrefix="1">
      <alignment horizontal="center" vertical="center"/>
      <protection/>
    </xf>
    <xf numFmtId="4" fontId="10" fillId="0" borderId="183" xfId="64" applyNumberFormat="1" applyFont="1" applyBorder="1" applyAlignment="1">
      <alignment horizontal="left" vertical="center"/>
      <protection/>
    </xf>
    <xf numFmtId="4" fontId="10" fillId="0" borderId="184" xfId="64" applyNumberFormat="1" applyFont="1" applyBorder="1" applyAlignment="1">
      <alignment horizontal="left" vertical="center"/>
      <protection/>
    </xf>
    <xf numFmtId="4" fontId="10" fillId="0" borderId="97" xfId="57" applyNumberFormat="1" applyFont="1" applyBorder="1" applyAlignment="1" quotePrefix="1">
      <alignment horizontal="center" vertical="center"/>
    </xf>
    <xf numFmtId="4" fontId="10" fillId="0" borderId="91" xfId="57" applyNumberFormat="1" applyFont="1" applyBorder="1" applyAlignment="1" quotePrefix="1">
      <alignment horizontal="center" vertical="center"/>
    </xf>
    <xf numFmtId="9" fontId="10" fillId="0" borderId="98" xfId="0" applyNumberFormat="1" applyFont="1" applyBorder="1" applyAlignment="1">
      <alignment vertical="center"/>
    </xf>
    <xf numFmtId="9" fontId="10" fillId="0" borderId="92" xfId="0" applyNumberFormat="1" applyFont="1" applyBorder="1" applyAlignment="1">
      <alignment vertical="center"/>
    </xf>
    <xf numFmtId="4" fontId="31" fillId="0" borderId="100" xfId="57" applyNumberFormat="1" applyFont="1" applyBorder="1" applyAlignment="1">
      <alignment vertical="center"/>
    </xf>
    <xf numFmtId="4" fontId="31" fillId="0" borderId="135" xfId="57" applyNumberFormat="1" applyFont="1" applyBorder="1" applyAlignment="1">
      <alignment vertical="center"/>
    </xf>
    <xf numFmtId="4" fontId="9" fillId="0" borderId="49" xfId="0" applyNumberFormat="1" applyFont="1" applyBorder="1" applyAlignment="1">
      <alignment horizontal="right" vertical="center"/>
    </xf>
    <xf numFmtId="4" fontId="9" fillId="0" borderId="50" xfId="0" applyNumberFormat="1" applyFont="1" applyBorder="1" applyAlignment="1">
      <alignment horizontal="right" vertical="center"/>
    </xf>
    <xf numFmtId="4" fontId="10" fillId="0" borderId="194" xfId="0" applyNumberFormat="1" applyFont="1" applyBorder="1" applyAlignment="1">
      <alignment horizontal="center" vertical="center" wrapText="1"/>
    </xf>
    <xf numFmtId="4" fontId="10" fillId="0" borderId="195" xfId="0" applyNumberFormat="1" applyFont="1" applyBorder="1" applyAlignment="1">
      <alignment horizontal="center" vertical="center" wrapText="1"/>
    </xf>
    <xf numFmtId="4" fontId="10" fillId="0" borderId="196" xfId="0" applyNumberFormat="1" applyFont="1" applyBorder="1" applyAlignment="1">
      <alignment horizontal="center" vertical="center" wrapText="1"/>
    </xf>
    <xf numFmtId="4" fontId="10" fillId="0" borderId="197" xfId="0" applyNumberFormat="1" applyFont="1" applyBorder="1" applyAlignment="1">
      <alignment horizontal="center" vertical="center" wrapText="1"/>
    </xf>
    <xf numFmtId="4" fontId="10" fillId="0" borderId="198" xfId="0" applyNumberFormat="1" applyFont="1" applyBorder="1" applyAlignment="1">
      <alignment horizontal="center" vertical="center" wrapText="1"/>
    </xf>
    <xf numFmtId="4" fontId="10" fillId="0" borderId="199" xfId="0" applyNumberFormat="1" applyFont="1" applyBorder="1" applyAlignment="1">
      <alignment horizontal="center" vertical="center" wrapText="1"/>
    </xf>
    <xf numFmtId="4" fontId="1" fillId="33" borderId="14" xfId="57" applyNumberFormat="1" applyFont="1" applyFill="1" applyBorder="1" applyAlignment="1">
      <alignment horizontal="center" vertical="center"/>
    </xf>
    <xf numFmtId="4" fontId="10" fillId="0" borderId="79" xfId="57" applyNumberFormat="1" applyFont="1" applyBorder="1" applyAlignment="1" quotePrefix="1">
      <alignment horizontal="center" vertical="center"/>
    </xf>
    <xf numFmtId="9" fontId="10" fillId="0" borderId="80" xfId="0" applyNumberFormat="1" applyFont="1" applyBorder="1" applyAlignment="1">
      <alignment vertical="center"/>
    </xf>
    <xf numFmtId="4" fontId="31" fillId="0" borderId="81" xfId="57" applyNumberFormat="1" applyFont="1" applyBorder="1" applyAlignment="1">
      <alignment vertical="center"/>
    </xf>
    <xf numFmtId="4" fontId="9" fillId="33" borderId="14" xfId="57" applyNumberFormat="1" applyFont="1" applyFill="1" applyBorder="1" applyAlignment="1">
      <alignment horizontal="center" vertical="center"/>
    </xf>
    <xf numFmtId="4" fontId="9" fillId="33" borderId="15" xfId="57" applyNumberFormat="1" applyFont="1" applyFill="1" applyBorder="1" applyAlignment="1">
      <alignment horizontal="center" vertical="center"/>
    </xf>
    <xf numFmtId="4" fontId="31" fillId="0" borderId="81" xfId="57" applyNumberFormat="1" applyFont="1" applyBorder="1" applyAlignment="1">
      <alignment horizontal="right" vertical="center"/>
    </xf>
    <xf numFmtId="4" fontId="31" fillId="0" borderId="135" xfId="57" applyNumberFormat="1" applyFont="1" applyBorder="1" applyAlignment="1">
      <alignment horizontal="right" vertical="center"/>
    </xf>
    <xf numFmtId="4" fontId="31" fillId="0" borderId="100" xfId="57" applyNumberFormat="1" applyFont="1" applyBorder="1" applyAlignment="1">
      <alignment horizontal="right" vertical="center"/>
    </xf>
    <xf numFmtId="4" fontId="9" fillId="0" borderId="49" xfId="57" applyNumberFormat="1" applyFont="1" applyBorder="1" applyAlignment="1">
      <alignment horizontal="center" vertical="center" wrapText="1"/>
    </xf>
    <xf numFmtId="4" fontId="9" fillId="0" borderId="50" xfId="57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157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3" fontId="11" fillId="33" borderId="15" xfId="57" applyNumberFormat="1" applyFont="1" applyFill="1" applyBorder="1" applyAlignment="1">
      <alignment horizontal="center" vertical="center"/>
    </xf>
    <xf numFmtId="183" fontId="11" fillId="33" borderId="16" xfId="57" applyNumberFormat="1" applyFont="1" applyFill="1" applyBorder="1" applyAlignment="1">
      <alignment horizontal="center" vertical="center"/>
    </xf>
    <xf numFmtId="4" fontId="10" fillId="0" borderId="0" xfId="61" applyNumberFormat="1" applyFont="1" applyBorder="1" applyAlignment="1">
      <alignment horizontal="center" vertical="center"/>
      <protection/>
    </xf>
    <xf numFmtId="4" fontId="10" fillId="0" borderId="200" xfId="61" applyNumberFormat="1" applyFont="1" applyBorder="1" applyAlignment="1">
      <alignment horizontal="center" vertical="center" wrapText="1"/>
      <protection/>
    </xf>
    <xf numFmtId="4" fontId="10" fillId="0" borderId="201" xfId="61" applyNumberFormat="1" applyFont="1" applyBorder="1" applyAlignment="1">
      <alignment horizontal="center" vertical="center" wrapText="1"/>
      <protection/>
    </xf>
    <xf numFmtId="4" fontId="10" fillId="0" borderId="202" xfId="61" applyNumberFormat="1" applyFont="1" applyBorder="1" applyAlignment="1">
      <alignment horizontal="center" vertical="center" wrapText="1"/>
      <protection/>
    </xf>
    <xf numFmtId="0" fontId="10" fillId="0" borderId="203" xfId="61" applyNumberFormat="1" applyFont="1" applyBorder="1" applyAlignment="1">
      <alignment horizontal="center" vertical="center"/>
      <protection/>
    </xf>
    <xf numFmtId="0" fontId="10" fillId="0" borderId="204" xfId="61" applyNumberFormat="1" applyFont="1" applyBorder="1" applyAlignment="1">
      <alignment horizontal="center" vertical="center"/>
      <protection/>
    </xf>
    <xf numFmtId="0" fontId="10" fillId="0" borderId="205" xfId="61" applyNumberFormat="1" applyFont="1" applyBorder="1" applyAlignment="1">
      <alignment horizontal="center" vertical="center"/>
      <protection/>
    </xf>
    <xf numFmtId="3" fontId="10" fillId="0" borderId="99" xfId="61" applyNumberFormat="1" applyFont="1" applyBorder="1" applyAlignment="1">
      <alignment horizontal="center" vertical="center"/>
      <protection/>
    </xf>
    <xf numFmtId="3" fontId="10" fillId="0" borderId="206" xfId="61" applyNumberFormat="1" applyFont="1" applyBorder="1" applyAlignment="1">
      <alignment horizontal="center" vertical="center"/>
      <protection/>
    </xf>
    <xf numFmtId="3" fontId="10" fillId="0" borderId="137" xfId="61" applyNumberFormat="1" applyFont="1" applyBorder="1" applyAlignment="1">
      <alignment horizontal="center" vertical="center"/>
      <protection/>
    </xf>
    <xf numFmtId="4" fontId="1" fillId="33" borderId="0" xfId="60" applyNumberFormat="1" applyFont="1" applyFill="1" applyBorder="1" applyAlignment="1">
      <alignment horizontal="center" vertical="center"/>
    </xf>
    <xf numFmtId="183" fontId="1" fillId="33" borderId="0" xfId="60" applyNumberFormat="1" applyFont="1" applyFill="1" applyBorder="1" applyAlignment="1">
      <alignment horizontal="center" vertical="center"/>
    </xf>
    <xf numFmtId="4" fontId="1" fillId="33" borderId="0" xfId="61" applyNumberFormat="1" applyFont="1" applyFill="1" applyBorder="1" applyAlignment="1">
      <alignment horizontal="center" vertical="center"/>
      <protection/>
    </xf>
    <xf numFmtId="4" fontId="11" fillId="33" borderId="0" xfId="60" applyNumberFormat="1" applyFont="1" applyFill="1" applyBorder="1" applyAlignment="1">
      <alignment horizontal="center" vertical="center"/>
    </xf>
    <xf numFmtId="4" fontId="10" fillId="0" borderId="98" xfId="61" applyNumberFormat="1" applyFont="1" applyBorder="1" applyAlignment="1">
      <alignment vertical="center" wrapText="1"/>
      <protection/>
    </xf>
    <xf numFmtId="4" fontId="10" fillId="0" borderId="83" xfId="61" applyNumberFormat="1" applyFont="1" applyBorder="1" applyAlignment="1">
      <alignment vertical="center" wrapText="1"/>
      <protection/>
    </xf>
    <xf numFmtId="4" fontId="10" fillId="0" borderId="92" xfId="61" applyNumberFormat="1" applyFont="1" applyBorder="1" applyAlignment="1">
      <alignment vertical="center" wrapText="1"/>
      <protection/>
    </xf>
    <xf numFmtId="0" fontId="10" fillId="0" borderId="98" xfId="61" applyNumberFormat="1" applyFont="1" applyBorder="1" applyAlignment="1">
      <alignment horizontal="center" vertical="center"/>
      <protection/>
    </xf>
    <xf numFmtId="0" fontId="10" fillId="0" borderId="83" xfId="61" applyNumberFormat="1" applyFont="1" applyBorder="1" applyAlignment="1">
      <alignment horizontal="center" vertical="center"/>
      <protection/>
    </xf>
    <xf numFmtId="0" fontId="10" fillId="0" borderId="92" xfId="61" applyNumberFormat="1" applyFont="1" applyBorder="1" applyAlignment="1">
      <alignment horizontal="center" vertical="center"/>
      <protection/>
    </xf>
    <xf numFmtId="3" fontId="10" fillId="0" borderId="174" xfId="61" applyNumberFormat="1" applyFont="1" applyBorder="1" applyAlignment="1">
      <alignment horizontal="center" vertical="center"/>
      <protection/>
    </xf>
    <xf numFmtId="3" fontId="10" fillId="0" borderId="207" xfId="61" applyNumberFormat="1" applyFont="1" applyBorder="1" applyAlignment="1">
      <alignment horizontal="center" vertical="center"/>
      <protection/>
    </xf>
    <xf numFmtId="4" fontId="10" fillId="0" borderId="10" xfId="61" applyNumberFormat="1" applyFont="1" applyBorder="1" applyAlignment="1">
      <alignment horizontal="center" vertical="center" wrapText="1"/>
      <protection/>
    </xf>
    <xf numFmtId="4" fontId="10" fillId="0" borderId="11" xfId="61" applyNumberFormat="1" applyFont="1" applyBorder="1" applyAlignment="1">
      <alignment horizontal="center" vertical="center" wrapText="1"/>
      <protection/>
    </xf>
    <xf numFmtId="4" fontId="10" fillId="0" borderId="12" xfId="61" applyNumberFormat="1" applyFont="1" applyBorder="1" applyAlignment="1">
      <alignment horizontal="center" vertical="center" wrapText="1"/>
      <protection/>
    </xf>
    <xf numFmtId="4" fontId="10" fillId="0" borderId="14" xfId="61" applyNumberFormat="1" applyFont="1" applyBorder="1" applyAlignment="1">
      <alignment horizontal="center" vertical="center" wrapText="1"/>
      <protection/>
    </xf>
    <xf numFmtId="4" fontId="10" fillId="0" borderId="15" xfId="61" applyNumberFormat="1" applyFont="1" applyBorder="1" applyAlignment="1">
      <alignment horizontal="center" vertical="center" wrapText="1"/>
      <protection/>
    </xf>
    <xf numFmtId="4" fontId="10" fillId="0" borderId="16" xfId="61" applyNumberFormat="1" applyFont="1" applyBorder="1" applyAlignment="1">
      <alignment horizontal="center" vertical="center" wrapText="1"/>
      <protection/>
    </xf>
    <xf numFmtId="4" fontId="9" fillId="0" borderId="10" xfId="61" applyNumberFormat="1" applyFont="1" applyBorder="1" applyAlignment="1">
      <alignment horizontal="center" vertical="center" wrapText="1"/>
      <protection/>
    </xf>
    <xf numFmtId="4" fontId="9" fillId="0" borderId="11" xfId="61" applyNumberFormat="1" applyFont="1" applyBorder="1" applyAlignment="1">
      <alignment horizontal="center" vertical="center" wrapText="1"/>
      <protection/>
    </xf>
    <xf numFmtId="4" fontId="9" fillId="0" borderId="12" xfId="61" applyNumberFormat="1" applyFont="1" applyBorder="1" applyAlignment="1">
      <alignment horizontal="center" vertical="center" wrapText="1"/>
      <protection/>
    </xf>
    <xf numFmtId="4" fontId="9" fillId="0" borderId="13" xfId="61" applyNumberFormat="1" applyFont="1" applyBorder="1" applyAlignment="1">
      <alignment horizontal="center" vertical="center" wrapText="1"/>
      <protection/>
    </xf>
    <xf numFmtId="4" fontId="9" fillId="0" borderId="0" xfId="61" applyNumberFormat="1" applyFont="1" applyBorder="1" applyAlignment="1">
      <alignment horizontal="center" vertical="center" wrapText="1"/>
      <protection/>
    </xf>
    <xf numFmtId="4" fontId="9" fillId="0" borderId="17" xfId="61" applyNumberFormat="1" applyFont="1" applyBorder="1" applyAlignment="1">
      <alignment horizontal="center" vertical="center" wrapText="1"/>
      <protection/>
    </xf>
    <xf numFmtId="4" fontId="9" fillId="0" borderId="14" xfId="61" applyNumberFormat="1" applyFont="1" applyBorder="1" applyAlignment="1">
      <alignment horizontal="center" vertical="center" wrapText="1"/>
      <protection/>
    </xf>
    <xf numFmtId="4" fontId="9" fillId="0" borderId="15" xfId="61" applyNumberFormat="1" applyFont="1" applyBorder="1" applyAlignment="1">
      <alignment horizontal="center" vertical="center" wrapText="1"/>
      <protection/>
    </xf>
    <xf numFmtId="4" fontId="9" fillId="0" borderId="16" xfId="61" applyNumberFormat="1" applyFont="1" applyBorder="1" applyAlignment="1">
      <alignment horizontal="center" vertical="center" wrapText="1"/>
      <protection/>
    </xf>
    <xf numFmtId="4" fontId="10" fillId="0" borderId="98" xfId="61" applyNumberFormat="1" applyFont="1" applyBorder="1" applyAlignment="1">
      <alignment horizontal="left" vertical="center"/>
      <protection/>
    </xf>
    <xf numFmtId="4" fontId="10" fillId="0" borderId="83" xfId="61" applyNumberFormat="1" applyFont="1" applyBorder="1" applyAlignment="1">
      <alignment horizontal="left" vertical="center"/>
      <protection/>
    </xf>
    <xf numFmtId="4" fontId="10" fillId="0" borderId="92" xfId="61" applyNumberFormat="1" applyFont="1" applyBorder="1" applyAlignment="1">
      <alignment horizontal="left" vertical="center"/>
      <protection/>
    </xf>
    <xf numFmtId="4" fontId="10" fillId="0" borderId="98" xfId="61" applyNumberFormat="1" applyFont="1" applyBorder="1" applyAlignment="1">
      <alignment vertical="center"/>
      <protection/>
    </xf>
    <xf numFmtId="4" fontId="10" fillId="0" borderId="83" xfId="61" applyNumberFormat="1" applyFont="1" applyBorder="1" applyAlignment="1">
      <alignment vertical="center"/>
      <protection/>
    </xf>
    <xf numFmtId="4" fontId="10" fillId="0" borderId="92" xfId="61" applyNumberFormat="1" applyFont="1" applyBorder="1" applyAlignment="1">
      <alignment vertical="center"/>
      <protection/>
    </xf>
    <xf numFmtId="4" fontId="10" fillId="0" borderId="179" xfId="61" applyNumberFormat="1" applyFont="1" applyBorder="1" applyAlignment="1">
      <alignment vertical="center"/>
      <protection/>
    </xf>
    <xf numFmtId="4" fontId="10" fillId="0" borderId="181" xfId="61" applyNumberFormat="1" applyFont="1" applyBorder="1" applyAlignment="1">
      <alignment vertical="center"/>
      <protection/>
    </xf>
    <xf numFmtId="4" fontId="10" fillId="0" borderId="208" xfId="61" applyNumberFormat="1" applyFont="1" applyBorder="1" applyAlignment="1">
      <alignment vertical="center"/>
      <protection/>
    </xf>
    <xf numFmtId="4" fontId="9" fillId="0" borderId="49" xfId="61" applyNumberFormat="1" applyFont="1" applyBorder="1" applyAlignment="1">
      <alignment horizontal="center" vertical="center"/>
      <protection/>
    </xf>
    <xf numFmtId="4" fontId="9" fillId="0" borderId="50" xfId="61" applyNumberFormat="1" applyFont="1" applyBorder="1" applyAlignment="1">
      <alignment horizontal="center" vertical="center"/>
      <protection/>
    </xf>
    <xf numFmtId="0" fontId="9" fillId="0" borderId="49" xfId="61" applyNumberFormat="1" applyFont="1" applyBorder="1" applyAlignment="1">
      <alignment horizontal="center" vertical="center"/>
      <protection/>
    </xf>
    <xf numFmtId="0" fontId="9" fillId="0" borderId="50" xfId="61" applyNumberFormat="1" applyFont="1" applyBorder="1" applyAlignment="1">
      <alignment horizontal="center" vertical="center"/>
      <protection/>
    </xf>
    <xf numFmtId="4" fontId="10" fillId="0" borderId="80" xfId="61" applyNumberFormat="1" applyFont="1" applyBorder="1" applyAlignment="1">
      <alignment vertical="center" wrapText="1"/>
      <protection/>
    </xf>
    <xf numFmtId="0" fontId="10" fillId="0" borderId="80" xfId="61" applyNumberFormat="1" applyFont="1" applyBorder="1" applyAlignment="1">
      <alignment horizontal="center" vertical="center"/>
      <protection/>
    </xf>
    <xf numFmtId="3" fontId="10" fillId="0" borderId="154" xfId="61" applyNumberFormat="1" applyFont="1" applyBorder="1" applyAlignment="1">
      <alignment horizontal="center" vertical="center"/>
      <protection/>
    </xf>
    <xf numFmtId="4" fontId="10" fillId="0" borderId="80" xfId="61" applyNumberFormat="1" applyFont="1" applyBorder="1" applyAlignment="1">
      <alignment vertical="center"/>
      <protection/>
    </xf>
    <xf numFmtId="4" fontId="9" fillId="0" borderId="49" xfId="61" applyNumberFormat="1" applyFont="1" applyBorder="1" applyAlignment="1">
      <alignment horizontal="right" vertical="center"/>
      <protection/>
    </xf>
    <xf numFmtId="4" fontId="9" fillId="0" borderId="50" xfId="61" applyNumberFormat="1" applyFont="1" applyBorder="1" applyAlignment="1">
      <alignment horizontal="right" vertical="center"/>
      <protection/>
    </xf>
    <xf numFmtId="3" fontId="9" fillId="0" borderId="49" xfId="61" applyNumberFormat="1" applyFont="1" applyBorder="1" applyAlignment="1">
      <alignment horizontal="center" vertical="center"/>
      <protection/>
    </xf>
    <xf numFmtId="3" fontId="9" fillId="0" borderId="50" xfId="61" applyNumberFormat="1" applyFont="1" applyBorder="1" applyAlignment="1">
      <alignment horizontal="center" vertical="center"/>
      <protection/>
    </xf>
    <xf numFmtId="4" fontId="1" fillId="33" borderId="13" xfId="60" applyNumberFormat="1" applyFont="1" applyFill="1" applyBorder="1" applyAlignment="1">
      <alignment horizontal="center" vertical="center"/>
    </xf>
    <xf numFmtId="4" fontId="9" fillId="33" borderId="13" xfId="60" applyNumberFormat="1" applyFont="1" applyFill="1" applyBorder="1" applyAlignment="1">
      <alignment horizontal="center" vertical="center"/>
    </xf>
    <xf numFmtId="4" fontId="9" fillId="33" borderId="0" xfId="60" applyNumberFormat="1" applyFont="1" applyFill="1" applyBorder="1" applyAlignment="1">
      <alignment horizontal="center" vertical="center"/>
    </xf>
    <xf numFmtId="4" fontId="22" fillId="33" borderId="13" xfId="60" applyNumberFormat="1" applyFont="1" applyFill="1" applyBorder="1" applyAlignment="1">
      <alignment horizontal="center" vertical="center"/>
    </xf>
    <xf numFmtId="4" fontId="22" fillId="33" borderId="0" xfId="60" applyNumberFormat="1" applyFont="1" applyFill="1" applyBorder="1" applyAlignment="1">
      <alignment horizontal="center" vertical="center"/>
    </xf>
    <xf numFmtId="4" fontId="9" fillId="33" borderId="14" xfId="60" applyNumberFormat="1" applyFont="1" applyFill="1" applyBorder="1" applyAlignment="1">
      <alignment horizontal="center" vertical="center"/>
    </xf>
    <xf numFmtId="4" fontId="9" fillId="33" borderId="15" xfId="60" applyNumberFormat="1" applyFont="1" applyFill="1" applyBorder="1" applyAlignment="1">
      <alignment horizontal="center" vertical="center"/>
    </xf>
    <xf numFmtId="4" fontId="9" fillId="0" borderId="49" xfId="60" applyNumberFormat="1" applyFont="1" applyBorder="1" applyAlignment="1">
      <alignment horizontal="center" vertical="center"/>
    </xf>
    <xf numFmtId="4" fontId="9" fillId="0" borderId="50" xfId="60" applyNumberFormat="1" applyFont="1" applyBorder="1" applyAlignment="1">
      <alignment horizontal="center" vertical="center"/>
    </xf>
    <xf numFmtId="4" fontId="9" fillId="0" borderId="49" xfId="61" applyNumberFormat="1" applyFont="1" applyBorder="1" applyAlignment="1">
      <alignment horizontal="center" vertical="center" wrapText="1"/>
      <protection/>
    </xf>
    <xf numFmtId="4" fontId="9" fillId="0" borderId="50" xfId="61" applyNumberFormat="1" applyFont="1" applyBorder="1" applyAlignment="1">
      <alignment horizontal="center" vertical="center" wrapText="1"/>
      <protection/>
    </xf>
    <xf numFmtId="4" fontId="11" fillId="33" borderId="16" xfId="57" applyNumberFormat="1" applyFont="1" applyFill="1" applyBorder="1" applyAlignment="1">
      <alignment horizontal="center" vertical="center"/>
    </xf>
    <xf numFmtId="4" fontId="1" fillId="33" borderId="0" xfId="57" applyNumberFormat="1" applyFont="1" applyFill="1" applyBorder="1" applyAlignment="1">
      <alignment horizontal="center" vertical="center" wrapText="1"/>
    </xf>
    <xf numFmtId="4" fontId="1" fillId="33" borderId="15" xfId="57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/>
    </xf>
    <xf numFmtId="4" fontId="27" fillId="0" borderId="52" xfId="62" applyNumberFormat="1" applyFont="1" applyBorder="1" applyAlignment="1">
      <alignment horizontal="center" vertical="center"/>
      <protection/>
    </xf>
    <xf numFmtId="4" fontId="27" fillId="0" borderId="53" xfId="62" applyNumberFormat="1" applyFont="1" applyBorder="1" applyAlignment="1">
      <alignment horizontal="center" vertical="center"/>
      <protection/>
    </xf>
    <xf numFmtId="4" fontId="27" fillId="0" borderId="54" xfId="62" applyNumberFormat="1" applyFont="1" applyBorder="1" applyAlignment="1">
      <alignment horizontal="center" vertical="center"/>
      <protection/>
    </xf>
    <xf numFmtId="4" fontId="27" fillId="0" borderId="57" xfId="62" applyNumberFormat="1" applyFont="1" applyBorder="1" applyAlignment="1">
      <alignment horizontal="center" vertical="center"/>
      <protection/>
    </xf>
    <xf numFmtId="4" fontId="27" fillId="0" borderId="58" xfId="62" applyNumberFormat="1" applyFont="1" applyBorder="1" applyAlignment="1">
      <alignment horizontal="center" vertical="center"/>
      <protection/>
    </xf>
    <xf numFmtId="4" fontId="27" fillId="0" borderId="59" xfId="62" applyNumberFormat="1" applyFont="1" applyBorder="1" applyAlignment="1">
      <alignment horizontal="center" vertical="center"/>
      <protection/>
    </xf>
    <xf numFmtId="4" fontId="1" fillId="33" borderId="56" xfId="0" applyNumberFormat="1" applyFont="1" applyFill="1" applyBorder="1" applyAlignment="1">
      <alignment horizontal="center" vertical="center"/>
    </xf>
    <xf numFmtId="188" fontId="1" fillId="33" borderId="0" xfId="0" applyNumberFormat="1" applyFont="1" applyFill="1" applyBorder="1" applyAlignment="1">
      <alignment horizontal="center" vertical="center"/>
    </xf>
    <xf numFmtId="188" fontId="1" fillId="33" borderId="56" xfId="0" applyNumberFormat="1" applyFont="1" applyFill="1" applyBorder="1" applyAlignment="1">
      <alignment horizontal="center" vertical="center"/>
    </xf>
    <xf numFmtId="4" fontId="29" fillId="0" borderId="152" xfId="63" applyNumberFormat="1" applyFont="1" applyBorder="1" applyAlignment="1">
      <alignment horizontal="right" vertical="center"/>
    </xf>
    <xf numFmtId="183" fontId="1" fillId="33" borderId="56" xfId="0" applyNumberFormat="1" applyFont="1" applyFill="1" applyBorder="1" applyAlignment="1">
      <alignment horizontal="center" vertical="center"/>
    </xf>
    <xf numFmtId="4" fontId="11" fillId="33" borderId="55" xfId="0" applyNumberFormat="1" applyFont="1" applyFill="1" applyBorder="1" applyAlignment="1">
      <alignment horizontal="center" vertical="center"/>
    </xf>
    <xf numFmtId="4" fontId="15" fillId="33" borderId="55" xfId="0" applyNumberFormat="1" applyFont="1" applyFill="1" applyBorder="1" applyAlignment="1">
      <alignment horizontal="center" vertical="center"/>
    </xf>
    <xf numFmtId="4" fontId="15" fillId="33" borderId="0" xfId="0" applyNumberFormat="1" applyFont="1" applyFill="1" applyBorder="1" applyAlignment="1">
      <alignment horizontal="center" vertical="center"/>
    </xf>
    <xf numFmtId="4" fontId="14" fillId="0" borderId="66" xfId="62" applyNumberFormat="1" applyFont="1" applyBorder="1" applyAlignment="1" quotePrefix="1">
      <alignment horizontal="center" vertical="center"/>
      <protection/>
    </xf>
    <xf numFmtId="4" fontId="11" fillId="33" borderId="15" xfId="0" applyNumberFormat="1" applyFont="1" applyFill="1" applyBorder="1" applyAlignment="1">
      <alignment horizontal="center" vertical="center"/>
    </xf>
    <xf numFmtId="4" fontId="14" fillId="0" borderId="0" xfId="62" applyNumberFormat="1" applyFont="1" applyBorder="1" applyAlignment="1" quotePrefix="1">
      <alignment horizontal="center" vertical="center"/>
      <protection/>
    </xf>
    <xf numFmtId="4" fontId="10" fillId="0" borderId="0" xfId="63" applyNumberFormat="1" applyFont="1" applyBorder="1" applyAlignment="1">
      <alignment horizontal="right" vertical="center"/>
    </xf>
    <xf numFmtId="4" fontId="1" fillId="0" borderId="186" xfId="0" applyNumberFormat="1" applyFont="1" applyBorder="1" applyAlignment="1">
      <alignment horizontal="center" vertical="center"/>
    </xf>
    <xf numFmtId="4" fontId="1" fillId="0" borderId="187" xfId="0" applyNumberFormat="1" applyFont="1" applyBorder="1" applyAlignment="1">
      <alignment horizontal="center" vertical="center"/>
    </xf>
    <xf numFmtId="4" fontId="1" fillId="0" borderId="188" xfId="0" applyNumberFormat="1" applyFont="1" applyBorder="1" applyAlignment="1">
      <alignment horizontal="center" vertical="center"/>
    </xf>
  </cellXfs>
  <cellStyles count="6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uro" xfId="48"/>
    <cellStyle name="Fixo" xfId="49"/>
    <cellStyle name="Hyperlink" xfId="50"/>
    <cellStyle name="Followed Hyperlink" xfId="51"/>
    <cellStyle name="Incorrecto" xfId="52"/>
    <cellStyle name="Currency" xfId="53"/>
    <cellStyle name="Currency [0]" xfId="54"/>
    <cellStyle name="Moeda0" xfId="55"/>
    <cellStyle name="Neutro" xfId="56"/>
    <cellStyle name="normal 2" xfId="57"/>
    <cellStyle name="Normal 3" xfId="58"/>
    <cellStyle name="Normal_10" xfId="59"/>
    <cellStyle name="normal_16" xfId="60"/>
    <cellStyle name="Normal_16_1" xfId="61"/>
    <cellStyle name="Normal_199910" xfId="62"/>
    <cellStyle name="normal_200108" xfId="63"/>
    <cellStyle name="Normal_200208" xfId="64"/>
    <cellStyle name="normal_200508" xfId="65"/>
    <cellStyle name="Nota" xfId="66"/>
    <cellStyle name="Percent" xfId="67"/>
    <cellStyle name="Saíd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otal" xfId="75"/>
    <cellStyle name="Verificar Célula" xfId="76"/>
    <cellStyle name="Comma" xfId="77"/>
    <cellStyle name="Vírgula0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1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13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1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2013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belas%20de%20Pagamento\RHE_Valores_201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3"/>
      <sheetName val="05"/>
      <sheetName val="10"/>
      <sheetName val="07CE"/>
      <sheetName val="11"/>
      <sheetName val="16"/>
      <sheetName val="28"/>
      <sheetName val="31"/>
      <sheetName val="32"/>
      <sheetName val="33"/>
      <sheetName val="34"/>
      <sheetName val="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3"/>
      <sheetName val="10"/>
      <sheetName val="38"/>
      <sheetName val="05"/>
      <sheetName val="07CE"/>
      <sheetName val="11"/>
      <sheetName val="16"/>
      <sheetName val="28"/>
      <sheetName val="31"/>
      <sheetName val="32"/>
      <sheetName val="33"/>
      <sheetName val="34"/>
    </sheetNames>
    <sheetDataSet>
      <sheetData sheetId="0">
        <row r="13">
          <cell r="B13">
            <v>407.81</v>
          </cell>
        </row>
      </sheetData>
      <sheetData sheetId="2">
        <row r="27">
          <cell r="EW27">
            <v>134.9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01"/>
      <sheetName val="03"/>
      <sheetName val="10"/>
      <sheetName val="38"/>
      <sheetName val="05"/>
      <sheetName val="07CE"/>
      <sheetName val="11"/>
      <sheetName val="16"/>
      <sheetName val="28"/>
      <sheetName val="32"/>
      <sheetName val="33"/>
      <sheetName val="34"/>
      <sheetName val="39"/>
    </sheetNames>
    <sheetDataSet>
      <sheetData sheetId="1">
        <row r="4">
          <cell r="Y4">
            <v>40238</v>
          </cell>
          <cell r="AL4">
            <v>40238</v>
          </cell>
          <cell r="AY4">
            <v>40238</v>
          </cell>
          <cell r="BU4">
            <v>40299</v>
          </cell>
        </row>
        <row r="9">
          <cell r="B9">
            <v>0.69</v>
          </cell>
        </row>
        <row r="10">
          <cell r="B10">
            <v>24117.62</v>
          </cell>
          <cell r="C10">
            <v>40238</v>
          </cell>
          <cell r="F10">
            <v>510</v>
          </cell>
        </row>
        <row r="11">
          <cell r="B11">
            <v>500.39</v>
          </cell>
          <cell r="T11">
            <v>167.44</v>
          </cell>
        </row>
        <row r="12">
          <cell r="B12">
            <v>752.13</v>
          </cell>
          <cell r="Z12">
            <v>0</v>
          </cell>
        </row>
        <row r="13">
          <cell r="T13">
            <v>334.88</v>
          </cell>
          <cell r="Z13">
            <v>0</v>
          </cell>
          <cell r="AK13">
            <v>8.5</v>
          </cell>
          <cell r="AX13">
            <v>84.1</v>
          </cell>
        </row>
        <row r="14">
          <cell r="Z14">
            <v>0</v>
          </cell>
          <cell r="BI14">
            <v>1302.9</v>
          </cell>
        </row>
        <row r="23">
          <cell r="BU23">
            <v>33.48</v>
          </cell>
        </row>
        <row r="25">
          <cell r="AK25">
            <v>10.1</v>
          </cell>
        </row>
        <row r="26">
          <cell r="BU26">
            <v>100.44</v>
          </cell>
        </row>
        <row r="28">
          <cell r="AX28">
            <v>139.5</v>
          </cell>
        </row>
        <row r="37">
          <cell r="AK37">
            <v>11.6</v>
          </cell>
        </row>
        <row r="46">
          <cell r="AX46">
            <v>251.8</v>
          </cell>
        </row>
        <row r="49">
          <cell r="AK49">
            <v>13.4</v>
          </cell>
        </row>
        <row r="52">
          <cell r="AX52">
            <v>376.1</v>
          </cell>
        </row>
        <row r="55">
          <cell r="AX55">
            <v>543.8</v>
          </cell>
        </row>
      </sheetData>
      <sheetData sheetId="3">
        <row r="4">
          <cell r="P4">
            <v>40238</v>
          </cell>
          <cell r="AA4">
            <v>39142</v>
          </cell>
          <cell r="AK4">
            <v>40299</v>
          </cell>
          <cell r="AY4">
            <v>40360</v>
          </cell>
          <cell r="CJ4">
            <v>40238</v>
          </cell>
          <cell r="DE4">
            <v>40238</v>
          </cell>
          <cell r="DR4">
            <v>40360</v>
          </cell>
          <cell r="EE4">
            <v>40360</v>
          </cell>
          <cell r="ER4">
            <v>40238</v>
          </cell>
          <cell r="FJ4">
            <v>40238</v>
          </cell>
        </row>
        <row r="11">
          <cell r="CF11">
            <v>336.19</v>
          </cell>
        </row>
        <row r="33">
          <cell r="CF33">
            <v>42.9</v>
          </cell>
        </row>
        <row r="36">
          <cell r="CJ36">
            <v>862.8</v>
          </cell>
        </row>
      </sheetData>
      <sheetData sheetId="4">
        <row r="4">
          <cell r="K4">
            <v>39234</v>
          </cell>
        </row>
      </sheetData>
      <sheetData sheetId="5">
        <row r="4">
          <cell r="H4">
            <v>38261</v>
          </cell>
          <cell r="W4">
            <v>39873</v>
          </cell>
          <cell r="AJ4">
            <v>40238</v>
          </cell>
          <cell r="AV4">
            <v>40238</v>
          </cell>
          <cell r="BH4">
            <v>39417</v>
          </cell>
        </row>
        <row r="10">
          <cell r="H10">
            <v>7916.28</v>
          </cell>
        </row>
        <row r="13">
          <cell r="H13">
            <v>7916.28</v>
          </cell>
        </row>
        <row r="15">
          <cell r="H15">
            <v>8411.04</v>
          </cell>
        </row>
        <row r="18">
          <cell r="H18">
            <v>8905.81</v>
          </cell>
        </row>
        <row r="20">
          <cell r="H20">
            <v>9400.58</v>
          </cell>
        </row>
        <row r="23">
          <cell r="H23">
            <v>9895.35</v>
          </cell>
        </row>
        <row r="25">
          <cell r="H25">
            <v>7421.51</v>
          </cell>
        </row>
        <row r="27">
          <cell r="H27">
            <v>9994.3</v>
          </cell>
        </row>
        <row r="57">
          <cell r="W57">
            <v>2990.5</v>
          </cell>
        </row>
      </sheetData>
      <sheetData sheetId="6">
        <row r="12">
          <cell r="E12">
            <v>29.4</v>
          </cell>
          <cell r="J12">
            <v>36.27</v>
          </cell>
          <cell r="AB12">
            <v>25.21</v>
          </cell>
          <cell r="AG12">
            <v>31.09</v>
          </cell>
        </row>
      </sheetData>
      <sheetData sheetId="7">
        <row r="4">
          <cell r="G4">
            <v>40238</v>
          </cell>
          <cell r="P4">
            <v>39142</v>
          </cell>
        </row>
        <row r="26">
          <cell r="P26">
            <v>2462.6</v>
          </cell>
        </row>
        <row r="29">
          <cell r="P29">
            <v>2981</v>
          </cell>
        </row>
        <row r="30">
          <cell r="P30">
            <v>3240.1</v>
          </cell>
        </row>
        <row r="63">
          <cell r="P63">
            <v>0</v>
          </cell>
        </row>
      </sheetData>
      <sheetData sheetId="9">
        <row r="4">
          <cell r="H4">
            <v>38565</v>
          </cell>
          <cell r="Q4">
            <v>38626</v>
          </cell>
        </row>
      </sheetData>
      <sheetData sheetId="10">
        <row r="4">
          <cell r="J4">
            <v>36373</v>
          </cell>
        </row>
      </sheetData>
      <sheetData sheetId="11">
        <row r="4">
          <cell r="J4">
            <v>40238</v>
          </cell>
        </row>
      </sheetData>
      <sheetData sheetId="12">
        <row r="4">
          <cell r="N4">
            <v>40238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01"/>
      <sheetName val="42"/>
      <sheetName val="03"/>
      <sheetName val="10"/>
      <sheetName val="38"/>
      <sheetName val="05"/>
      <sheetName val="07CE"/>
      <sheetName val="11"/>
      <sheetName val="16"/>
      <sheetName val="28"/>
      <sheetName val="32"/>
      <sheetName val="33"/>
      <sheetName val="34"/>
      <sheetName val="39"/>
    </sheetNames>
    <sheetDataSet>
      <sheetData sheetId="1">
        <row r="4">
          <cell r="Y4">
            <v>40238</v>
          </cell>
          <cell r="AL4">
            <v>40238</v>
          </cell>
          <cell r="AY4">
            <v>40238</v>
          </cell>
          <cell r="BU4">
            <v>40299</v>
          </cell>
        </row>
        <row r="9">
          <cell r="B9">
            <v>0.69</v>
          </cell>
        </row>
        <row r="10">
          <cell r="B10">
            <v>24117.62</v>
          </cell>
          <cell r="F10">
            <v>510</v>
          </cell>
        </row>
        <row r="11">
          <cell r="B11">
            <v>500.39</v>
          </cell>
          <cell r="T11">
            <v>167.44</v>
          </cell>
        </row>
        <row r="12">
          <cell r="B12">
            <v>752.13</v>
          </cell>
          <cell r="Z12">
            <v>0</v>
          </cell>
        </row>
        <row r="13">
          <cell r="T13">
            <v>334.88</v>
          </cell>
          <cell r="Z13">
            <v>0</v>
          </cell>
          <cell r="AK13">
            <v>8.5</v>
          </cell>
          <cell r="AX13">
            <v>84.1</v>
          </cell>
        </row>
        <row r="14">
          <cell r="Z14">
            <v>0</v>
          </cell>
          <cell r="BI14">
            <v>1302.9</v>
          </cell>
        </row>
        <row r="23">
          <cell r="BU23">
            <v>33.48</v>
          </cell>
        </row>
        <row r="25">
          <cell r="AK25">
            <v>10.1</v>
          </cell>
        </row>
        <row r="26">
          <cell r="BU26">
            <v>100.44</v>
          </cell>
        </row>
        <row r="28">
          <cell r="AX28">
            <v>139.5</v>
          </cell>
        </row>
        <row r="37">
          <cell r="AK37">
            <v>11.6</v>
          </cell>
        </row>
        <row r="46">
          <cell r="AX46">
            <v>251.8</v>
          </cell>
        </row>
        <row r="49">
          <cell r="AK49">
            <v>13.4</v>
          </cell>
        </row>
        <row r="52">
          <cell r="AX52">
            <v>376.1</v>
          </cell>
        </row>
        <row r="55">
          <cell r="AX55">
            <v>543.8</v>
          </cell>
        </row>
      </sheetData>
      <sheetData sheetId="4">
        <row r="4">
          <cell r="P4">
            <v>40238</v>
          </cell>
          <cell r="AA4">
            <v>39142</v>
          </cell>
          <cell r="AK4">
            <v>40299</v>
          </cell>
          <cell r="AY4">
            <v>40238</v>
          </cell>
          <cell r="CJ4">
            <v>40238</v>
          </cell>
          <cell r="DE4">
            <v>40238</v>
          </cell>
          <cell r="DR4">
            <v>40238</v>
          </cell>
          <cell r="EE4">
            <v>40238</v>
          </cell>
          <cell r="ER4">
            <v>40238</v>
          </cell>
          <cell r="FJ4">
            <v>40238</v>
          </cell>
        </row>
        <row r="11">
          <cell r="CF11">
            <v>336.19</v>
          </cell>
        </row>
        <row r="33">
          <cell r="CF33">
            <v>42.9</v>
          </cell>
        </row>
        <row r="36">
          <cell r="CJ36">
            <v>862.8</v>
          </cell>
        </row>
      </sheetData>
      <sheetData sheetId="5">
        <row r="4">
          <cell r="K4">
            <v>39234</v>
          </cell>
        </row>
      </sheetData>
      <sheetData sheetId="6">
        <row r="4">
          <cell r="H4">
            <v>38261</v>
          </cell>
          <cell r="W4">
            <v>39873</v>
          </cell>
          <cell r="AJ4">
            <v>40238</v>
          </cell>
          <cell r="AV4">
            <v>40238</v>
          </cell>
          <cell r="BH4">
            <v>39417</v>
          </cell>
        </row>
        <row r="10">
          <cell r="H10">
            <v>7916.28</v>
          </cell>
        </row>
        <row r="13">
          <cell r="H13">
            <v>7916.28</v>
          </cell>
        </row>
        <row r="15">
          <cell r="H15">
            <v>8411.04</v>
          </cell>
        </row>
        <row r="18">
          <cell r="H18">
            <v>8905.81</v>
          </cell>
        </row>
        <row r="20">
          <cell r="H20">
            <v>9400.58</v>
          </cell>
        </row>
        <row r="23">
          <cell r="H23">
            <v>9895.35</v>
          </cell>
        </row>
        <row r="25">
          <cell r="H25">
            <v>7421.51</v>
          </cell>
        </row>
        <row r="27">
          <cell r="H27">
            <v>9994.3</v>
          </cell>
        </row>
        <row r="57">
          <cell r="W57">
            <v>2990.5</v>
          </cell>
        </row>
      </sheetData>
      <sheetData sheetId="7">
        <row r="12">
          <cell r="E12">
            <v>29.4</v>
          </cell>
          <cell r="J12">
            <v>36.27</v>
          </cell>
          <cell r="AB12">
            <v>25.21</v>
          </cell>
          <cell r="AG12">
            <v>31.09</v>
          </cell>
        </row>
      </sheetData>
      <sheetData sheetId="8">
        <row r="4">
          <cell r="G4">
            <v>40238</v>
          </cell>
          <cell r="P4">
            <v>39142</v>
          </cell>
        </row>
        <row r="26">
          <cell r="P26">
            <v>2462.6</v>
          </cell>
        </row>
        <row r="29">
          <cell r="P29">
            <v>2981</v>
          </cell>
        </row>
        <row r="30">
          <cell r="P30">
            <v>3240.1</v>
          </cell>
        </row>
        <row r="63">
          <cell r="P63">
            <v>0</v>
          </cell>
        </row>
      </sheetData>
      <sheetData sheetId="10">
        <row r="4">
          <cell r="H4">
            <v>38565</v>
          </cell>
          <cell r="Q4">
            <v>38626</v>
          </cell>
        </row>
      </sheetData>
      <sheetData sheetId="11">
        <row r="4">
          <cell r="J4">
            <v>36373</v>
          </cell>
        </row>
      </sheetData>
      <sheetData sheetId="12">
        <row r="4">
          <cell r="J4">
            <v>40238</v>
          </cell>
        </row>
      </sheetData>
      <sheetData sheetId="13">
        <row r="4">
          <cell r="N4">
            <v>40238</v>
          </cell>
        </row>
      </sheetData>
      <sheetData sheetId="14">
        <row r="4">
          <cell r="P4">
            <v>40269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41"/>
      <sheetName val="40"/>
      <sheetName val="42"/>
      <sheetName val="03"/>
      <sheetName val="10"/>
      <sheetName val="38"/>
      <sheetName val="05"/>
      <sheetName val="07CE"/>
      <sheetName val="11"/>
      <sheetName val="16"/>
      <sheetName val="28"/>
      <sheetName val="32"/>
      <sheetName val="33"/>
      <sheetName val="34"/>
      <sheetName val="39"/>
    </sheetNames>
    <sheetDataSet>
      <sheetData sheetId="1">
        <row r="3">
          <cell r="N3">
            <v>41334</v>
          </cell>
        </row>
        <row r="24">
          <cell r="H24">
            <v>426.3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42"/>
      <sheetName val="03"/>
      <sheetName val="10"/>
      <sheetName val="38"/>
      <sheetName val="05"/>
      <sheetName val="07CE"/>
      <sheetName val="11"/>
      <sheetName val="16"/>
      <sheetName val="28"/>
      <sheetName val="32"/>
      <sheetName val="33"/>
      <sheetName val="34"/>
      <sheetName val="39"/>
      <sheetName val="40"/>
    </sheetNames>
    <sheetDataSet>
      <sheetData sheetId="1">
        <row r="3">
          <cell r="E3" t="str">
            <v>DPP / BDP</v>
          </cell>
          <cell r="G3" t="str">
            <v>Tabela de Valores Nº  42 </v>
          </cell>
          <cell r="N3" t="str">
            <v>A/C</v>
          </cell>
        </row>
        <row r="4">
          <cell r="G4" t="str">
            <v>Secretaria dos Transportes - Nível Médio e DAE - Lei 13.438/2010</v>
          </cell>
          <cell r="N4">
            <v>40299</v>
          </cell>
        </row>
        <row r="8">
          <cell r="G8" t="str">
            <v>Nível Médio - TV ESPECIAL ST</v>
          </cell>
          <cell r="K8" t="str">
            <v>DAE - TV ESPECIAL DAE</v>
          </cell>
        </row>
        <row r="10">
          <cell r="G10" t="str">
            <v>Padrão</v>
          </cell>
          <cell r="H10" t="str">
            <v>Denominação</v>
          </cell>
          <cell r="I10" t="str">
            <v>       Básico</v>
          </cell>
          <cell r="K10" t="str">
            <v>Padrão</v>
          </cell>
          <cell r="L10" t="str">
            <v>Denominação</v>
          </cell>
          <cell r="M10" t="str">
            <v>       Básico</v>
          </cell>
        </row>
        <row r="12">
          <cell r="G12" t="str">
            <v>01</v>
          </cell>
          <cell r="H12" t="str">
            <v>Pd 01</v>
          </cell>
          <cell r="I12">
            <v>525.72</v>
          </cell>
          <cell r="K12" t="str">
            <v>31</v>
          </cell>
          <cell r="L12" t="str">
            <v>Classe A</v>
          </cell>
          <cell r="M12">
            <v>4391.18</v>
          </cell>
        </row>
        <row r="13">
          <cell r="G13" t="str">
            <v>02</v>
          </cell>
          <cell r="H13" t="str">
            <v>Pd 02</v>
          </cell>
          <cell r="I13">
            <v>552</v>
          </cell>
          <cell r="K13" t="str">
            <v>32</v>
          </cell>
          <cell r="L13" t="str">
            <v>Classe B</v>
          </cell>
          <cell r="M13">
            <v>4610.74</v>
          </cell>
        </row>
        <row r="14">
          <cell r="G14" t="str">
            <v>03</v>
          </cell>
          <cell r="H14" t="str">
            <v>Pd 03</v>
          </cell>
          <cell r="I14">
            <v>579.6</v>
          </cell>
          <cell r="K14" t="str">
            <v>33</v>
          </cell>
          <cell r="L14" t="str">
            <v>Classe C</v>
          </cell>
          <cell r="M14">
            <v>4841.28</v>
          </cell>
        </row>
        <row r="15">
          <cell r="G15" t="str">
            <v>04</v>
          </cell>
          <cell r="H15" t="str">
            <v>Pd 04</v>
          </cell>
          <cell r="I15">
            <v>608.59</v>
          </cell>
          <cell r="K15" t="str">
            <v>34</v>
          </cell>
          <cell r="L15" t="str">
            <v>Classe D</v>
          </cell>
          <cell r="M15">
            <v>5083.34</v>
          </cell>
        </row>
        <row r="16">
          <cell r="G16" t="str">
            <v>05</v>
          </cell>
          <cell r="H16" t="str">
            <v>Pd 05</v>
          </cell>
          <cell r="I16">
            <v>630.86</v>
          </cell>
        </row>
        <row r="17">
          <cell r="G17" t="str">
            <v>06</v>
          </cell>
          <cell r="H17" t="str">
            <v>Pd 06</v>
          </cell>
          <cell r="I17">
            <v>662.41</v>
          </cell>
        </row>
        <row r="18">
          <cell r="G18" t="str">
            <v>07</v>
          </cell>
          <cell r="H18" t="str">
            <v>Pd 07</v>
          </cell>
          <cell r="I18">
            <v>695.53</v>
          </cell>
        </row>
        <row r="19">
          <cell r="G19" t="str">
            <v>08</v>
          </cell>
          <cell r="H19" t="str">
            <v>Pd 08</v>
          </cell>
          <cell r="I19">
            <v>730.3</v>
          </cell>
        </row>
        <row r="20">
          <cell r="G20" t="str">
            <v>09</v>
          </cell>
          <cell r="H20" t="str">
            <v>Pd 09</v>
          </cell>
          <cell r="I20">
            <v>762.29</v>
          </cell>
        </row>
        <row r="21">
          <cell r="G21" t="str">
            <v>10</v>
          </cell>
          <cell r="H21" t="str">
            <v>Pd 10</v>
          </cell>
          <cell r="I21">
            <v>800.41</v>
          </cell>
        </row>
        <row r="22">
          <cell r="G22" t="str">
            <v>11</v>
          </cell>
          <cell r="H22" t="str">
            <v>Pd 11</v>
          </cell>
          <cell r="I22">
            <v>840.43</v>
          </cell>
        </row>
        <row r="23">
          <cell r="G23" t="str">
            <v>12</v>
          </cell>
          <cell r="H23" t="str">
            <v>Pd 12</v>
          </cell>
          <cell r="I23">
            <v>882.45</v>
          </cell>
        </row>
        <row r="24">
          <cell r="G24" t="str">
            <v>13</v>
          </cell>
          <cell r="H24" t="str">
            <v>Pd 13</v>
          </cell>
          <cell r="I24">
            <v>946.29</v>
          </cell>
        </row>
        <row r="25">
          <cell r="G25" t="str">
            <v>14</v>
          </cell>
          <cell r="H25" t="str">
            <v>Pd 14</v>
          </cell>
          <cell r="I25">
            <v>993.61</v>
          </cell>
        </row>
        <row r="26">
          <cell r="G26" t="str">
            <v>15</v>
          </cell>
          <cell r="H26" t="str">
            <v>Pd 15</v>
          </cell>
          <cell r="I26">
            <v>1043.29</v>
          </cell>
        </row>
        <row r="27">
          <cell r="G27" t="str">
            <v>16</v>
          </cell>
          <cell r="H27" t="str">
            <v>Pd 16</v>
          </cell>
          <cell r="I27">
            <v>1095.45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41"/>
      <sheetName val="40"/>
      <sheetName val="42"/>
      <sheetName val="03"/>
      <sheetName val="10"/>
      <sheetName val="38"/>
      <sheetName val="05"/>
      <sheetName val="07CE"/>
      <sheetName val="11"/>
      <sheetName val="16"/>
      <sheetName val="28"/>
      <sheetName val="32"/>
      <sheetName val="33"/>
      <sheetName val="34"/>
      <sheetName val="39"/>
    </sheetNames>
    <sheetDataSet>
      <sheetData sheetId="0">
        <row r="4">
          <cell r="AU4">
            <v>41091</v>
          </cell>
          <cell r="BF4">
            <v>41091</v>
          </cell>
          <cell r="CB4">
            <v>41395</v>
          </cell>
        </row>
        <row r="9">
          <cell r="B9">
            <v>0.69</v>
          </cell>
        </row>
        <row r="10">
          <cell r="B10">
            <v>24117.62</v>
          </cell>
          <cell r="F10">
            <v>678</v>
          </cell>
        </row>
        <row r="11">
          <cell r="B11">
            <v>500.39</v>
          </cell>
          <cell r="S11">
            <v>177.62</v>
          </cell>
        </row>
        <row r="12">
          <cell r="B12">
            <v>752.13</v>
          </cell>
          <cell r="Y12">
            <v>0</v>
          </cell>
        </row>
        <row r="13">
          <cell r="S13">
            <v>355.25</v>
          </cell>
          <cell r="Y13">
            <v>0</v>
          </cell>
          <cell r="AT13">
            <v>8.5</v>
          </cell>
          <cell r="BE13">
            <v>84.1</v>
          </cell>
        </row>
        <row r="14">
          <cell r="Y14">
            <v>0</v>
          </cell>
          <cell r="BP14">
            <v>1302.9</v>
          </cell>
        </row>
        <row r="23">
          <cell r="CB23">
            <v>35.52</v>
          </cell>
        </row>
        <row r="25">
          <cell r="AT25">
            <v>10.1</v>
          </cell>
        </row>
        <row r="26">
          <cell r="CB26">
            <v>106.56</v>
          </cell>
        </row>
        <row r="28">
          <cell r="BE28">
            <v>139.5</v>
          </cell>
        </row>
        <row r="37">
          <cell r="AT37">
            <v>11.6</v>
          </cell>
        </row>
        <row r="46">
          <cell r="BE46">
            <v>251.8</v>
          </cell>
        </row>
        <row r="49">
          <cell r="AT49">
            <v>13.4</v>
          </cell>
        </row>
        <row r="52">
          <cell r="BE52">
            <v>376.1</v>
          </cell>
        </row>
        <row r="55">
          <cell r="BE55">
            <v>543.8</v>
          </cell>
        </row>
      </sheetData>
      <sheetData sheetId="1">
        <row r="3">
          <cell r="N3">
            <v>41334</v>
          </cell>
        </row>
        <row r="24">
          <cell r="H24">
            <v>426.3</v>
          </cell>
        </row>
      </sheetData>
      <sheetData sheetId="2">
        <row r="4">
          <cell r="N4">
            <v>41334</v>
          </cell>
        </row>
      </sheetData>
      <sheetData sheetId="3">
        <row r="4">
          <cell r="N4">
            <v>41334</v>
          </cell>
        </row>
      </sheetData>
      <sheetData sheetId="5">
        <row r="4">
          <cell r="P4">
            <v>41306</v>
          </cell>
          <cell r="AA4">
            <v>39142</v>
          </cell>
          <cell r="AK4">
            <v>41334</v>
          </cell>
          <cell r="AY4">
            <v>41183</v>
          </cell>
          <cell r="CJ4">
            <v>41306</v>
          </cell>
          <cell r="DE4">
            <v>41306</v>
          </cell>
          <cell r="DR4">
            <v>41365</v>
          </cell>
          <cell r="EE4">
            <v>41365</v>
          </cell>
          <cell r="ER4">
            <v>40238</v>
          </cell>
          <cell r="FJ4">
            <v>40238</v>
          </cell>
        </row>
        <row r="11">
          <cell r="CF11">
            <v>488.51</v>
          </cell>
        </row>
        <row r="33">
          <cell r="CF33">
            <v>0</v>
          </cell>
        </row>
        <row r="36">
          <cell r="CJ36">
            <v>862.8</v>
          </cell>
        </row>
      </sheetData>
      <sheetData sheetId="6">
        <row r="4">
          <cell r="K4">
            <v>41334</v>
          </cell>
        </row>
      </sheetData>
      <sheetData sheetId="7">
        <row r="4">
          <cell r="H4">
            <v>38261</v>
          </cell>
          <cell r="W4">
            <v>41395</v>
          </cell>
          <cell r="AJ4">
            <v>41365</v>
          </cell>
          <cell r="AV4">
            <v>41000</v>
          </cell>
          <cell r="BH4">
            <v>39417</v>
          </cell>
        </row>
        <row r="10">
          <cell r="H10">
            <v>7916.28</v>
          </cell>
        </row>
        <row r="13">
          <cell r="H13">
            <v>7916.28</v>
          </cell>
        </row>
        <row r="15">
          <cell r="H15">
            <v>8411.04</v>
          </cell>
        </row>
        <row r="18">
          <cell r="H18">
            <v>8905.81</v>
          </cell>
        </row>
        <row r="20">
          <cell r="H20">
            <v>9400.58</v>
          </cell>
        </row>
        <row r="23">
          <cell r="H23">
            <v>9895.35</v>
          </cell>
        </row>
        <row r="25">
          <cell r="H25">
            <v>7421.51</v>
          </cell>
        </row>
        <row r="27">
          <cell r="H27">
            <v>9994.3</v>
          </cell>
        </row>
        <row r="57">
          <cell r="W57">
            <v>5960.4</v>
          </cell>
        </row>
      </sheetData>
      <sheetData sheetId="8">
        <row r="12">
          <cell r="E12">
            <v>42.73</v>
          </cell>
          <cell r="J12">
            <v>52.71</v>
          </cell>
          <cell r="AB12">
            <v>36.63</v>
          </cell>
          <cell r="AG12">
            <v>45.18</v>
          </cell>
        </row>
      </sheetData>
      <sheetData sheetId="9">
        <row r="4">
          <cell r="G4">
            <v>41275</v>
          </cell>
          <cell r="P4">
            <v>41275</v>
          </cell>
        </row>
        <row r="26">
          <cell r="P26">
            <v>3950</v>
          </cell>
        </row>
        <row r="29">
          <cell r="P29">
            <v>4661</v>
          </cell>
        </row>
        <row r="30">
          <cell r="P30">
            <v>4898</v>
          </cell>
        </row>
        <row r="63">
          <cell r="P63">
            <v>0</v>
          </cell>
        </row>
      </sheetData>
      <sheetData sheetId="11">
        <row r="4">
          <cell r="H4">
            <v>38565</v>
          </cell>
          <cell r="Q4">
            <v>38626</v>
          </cell>
        </row>
      </sheetData>
      <sheetData sheetId="12">
        <row r="4">
          <cell r="J4">
            <v>36373</v>
          </cell>
        </row>
      </sheetData>
      <sheetData sheetId="13">
        <row r="4">
          <cell r="J4">
            <v>41091</v>
          </cell>
        </row>
      </sheetData>
      <sheetData sheetId="14">
        <row r="4">
          <cell r="N4">
            <v>41365</v>
          </cell>
        </row>
      </sheetData>
      <sheetData sheetId="15">
        <row r="4">
          <cell r="P4">
            <v>41395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HE_Valores"/>
      <sheetName val="RHE_Valores_201403"/>
    </sheetNames>
    <sheetDataSet>
      <sheetData sheetId="0">
        <row r="1">
          <cell r="A1" t="str">
            <v>TabPadJor</v>
          </cell>
          <cell r="B1" t="str">
            <v>Tabela</v>
          </cell>
          <cell r="C1" t="str">
            <v>Nome_tabela</v>
          </cell>
          <cell r="D1" t="str">
            <v>Jornada</v>
          </cell>
          <cell r="E1" t="str">
            <v>DataIni</v>
          </cell>
          <cell r="F1" t="str">
            <v>DataFim</v>
          </cell>
          <cell r="G1" t="str">
            <v>Padrão</v>
          </cell>
          <cell r="H1" t="str">
            <v>Descrição</v>
          </cell>
          <cell r="I1" t="str">
            <v>Label1</v>
          </cell>
          <cell r="J1" t="str">
            <v>Valor1</v>
          </cell>
          <cell r="K1" t="str">
            <v>Label2</v>
          </cell>
          <cell r="L1" t="str">
            <v>Valor2</v>
          </cell>
          <cell r="M1" t="str">
            <v>Label3</v>
          </cell>
          <cell r="N1" t="str">
            <v>Valor3</v>
          </cell>
          <cell r="O1" t="str">
            <v>Label4</v>
          </cell>
          <cell r="P1" t="str">
            <v>Valor4</v>
          </cell>
          <cell r="Q1" t="str">
            <v>Label5</v>
          </cell>
          <cell r="R1" t="str">
            <v>Valor5</v>
          </cell>
          <cell r="S1" t="str">
            <v>VL_LABEL4</v>
          </cell>
          <cell r="T1" t="str">
            <v>Campo19</v>
          </cell>
        </row>
        <row r="2">
          <cell r="A2" t="str">
            <v>TV ANALISTA PLANEJAM 01 40H</v>
          </cell>
          <cell r="B2" t="str">
            <v>TV ANALISTA PLANEJAM</v>
          </cell>
          <cell r="C2" t="str">
            <v>Tabela de Valores Analista de Planejamento</v>
          </cell>
          <cell r="D2" t="str">
            <v>40H</v>
          </cell>
          <cell r="E2">
            <v>41091</v>
          </cell>
          <cell r="G2" t="str">
            <v>01</v>
          </cell>
          <cell r="H2" t="str">
            <v>Grau A - Nível 1</v>
          </cell>
          <cell r="I2" t="str">
            <v>Básico</v>
          </cell>
          <cell r="J2">
            <v>4038</v>
          </cell>
        </row>
        <row r="3">
          <cell r="A3" t="str">
            <v>TV ANALISTA PLANEJAM 02 40H</v>
          </cell>
          <cell r="B3" t="str">
            <v>TV ANALISTA PLANEJAM</v>
          </cell>
          <cell r="C3" t="str">
            <v>Tabela de Valores Analista de Planejamento</v>
          </cell>
          <cell r="D3" t="str">
            <v>40H</v>
          </cell>
          <cell r="E3">
            <v>41091</v>
          </cell>
          <cell r="G3" t="str">
            <v>02</v>
          </cell>
          <cell r="H3" t="str">
            <v>Grau A - Nível 2</v>
          </cell>
          <cell r="I3" t="str">
            <v>Básico</v>
          </cell>
          <cell r="J3">
            <v>4159.14</v>
          </cell>
        </row>
        <row r="4">
          <cell r="A4" t="str">
            <v>TV ANALISTA PLANEJAM 03 40H</v>
          </cell>
          <cell r="B4" t="str">
            <v>TV ANALISTA PLANEJAM</v>
          </cell>
          <cell r="C4" t="str">
            <v>Tabela de Valores Analista de Planejamento</v>
          </cell>
          <cell r="D4" t="str">
            <v>40H</v>
          </cell>
          <cell r="E4">
            <v>41091</v>
          </cell>
          <cell r="G4" t="str">
            <v>03</v>
          </cell>
          <cell r="H4" t="str">
            <v>Grau A - Nível 3</v>
          </cell>
          <cell r="I4" t="str">
            <v>Básico</v>
          </cell>
          <cell r="J4">
            <v>4283.91</v>
          </cell>
        </row>
        <row r="5">
          <cell r="A5" t="str">
            <v>TV ANALISTA PLANEJAM 04 40H</v>
          </cell>
          <cell r="B5" t="str">
            <v>TV ANALISTA PLANEJAM</v>
          </cell>
          <cell r="C5" t="str">
            <v>Tabela de Valores Analista de Planejamento</v>
          </cell>
          <cell r="D5" t="str">
            <v>40H</v>
          </cell>
          <cell r="E5">
            <v>41091</v>
          </cell>
          <cell r="G5" t="str">
            <v>04</v>
          </cell>
          <cell r="H5" t="str">
            <v>Grau B - Nível 1</v>
          </cell>
          <cell r="I5" t="str">
            <v>Básico</v>
          </cell>
          <cell r="J5">
            <v>4690.88</v>
          </cell>
        </row>
        <row r="6">
          <cell r="A6" t="str">
            <v>TV ANALISTA PLANEJAM 05 40H</v>
          </cell>
          <cell r="B6" t="str">
            <v>TV ANALISTA PLANEJAM</v>
          </cell>
          <cell r="C6" t="str">
            <v>Tabela de Valores Analista de Planejamento</v>
          </cell>
          <cell r="D6" t="str">
            <v>40H</v>
          </cell>
          <cell r="E6">
            <v>41091</v>
          </cell>
          <cell r="G6" t="str">
            <v>05</v>
          </cell>
          <cell r="H6" t="str">
            <v>Grau B - Nível 2</v>
          </cell>
          <cell r="I6" t="str">
            <v>Básico</v>
          </cell>
          <cell r="J6">
            <v>4831.6</v>
          </cell>
        </row>
        <row r="7">
          <cell r="A7" t="str">
            <v>TV ANALISTA PLANEJAM 06 40H</v>
          </cell>
          <cell r="B7" t="str">
            <v>TV ANALISTA PLANEJAM</v>
          </cell>
          <cell r="C7" t="str">
            <v>Tabela de Valores Analista de Planejamento</v>
          </cell>
          <cell r="D7" t="str">
            <v>40H</v>
          </cell>
          <cell r="E7">
            <v>41091</v>
          </cell>
          <cell r="G7" t="str">
            <v>06</v>
          </cell>
          <cell r="H7" t="str">
            <v>Grau B - Nível 3</v>
          </cell>
          <cell r="I7" t="str">
            <v>Básico</v>
          </cell>
          <cell r="J7">
            <v>4976.54</v>
          </cell>
        </row>
        <row r="8">
          <cell r="A8" t="str">
            <v>TV ANALISTA PLANEJAM 07 40H</v>
          </cell>
          <cell r="B8" t="str">
            <v>TV ANALISTA PLANEJAM</v>
          </cell>
          <cell r="C8" t="str">
            <v>Tabela de Valores Analista de Planejamento</v>
          </cell>
          <cell r="D8" t="str">
            <v>40H</v>
          </cell>
          <cell r="E8">
            <v>41091</v>
          </cell>
          <cell r="G8" t="str">
            <v>07</v>
          </cell>
          <cell r="H8" t="str">
            <v>Grau C - Nível 1</v>
          </cell>
          <cell r="I8" t="str">
            <v>Básico</v>
          </cell>
          <cell r="J8">
            <v>5449.31</v>
          </cell>
        </row>
        <row r="9">
          <cell r="A9" t="str">
            <v>TV ANALISTA PLANEJAM 08 40H</v>
          </cell>
          <cell r="B9" t="str">
            <v>TV ANALISTA PLANEJAM</v>
          </cell>
          <cell r="C9" t="str">
            <v>Tabela de Valores Analista de Planejamento</v>
          </cell>
          <cell r="D9" t="str">
            <v>40H</v>
          </cell>
          <cell r="E9">
            <v>41091</v>
          </cell>
          <cell r="G9" t="str">
            <v>08</v>
          </cell>
          <cell r="H9" t="str">
            <v>Grau C - Nível 2</v>
          </cell>
          <cell r="I9" t="str">
            <v>Básico</v>
          </cell>
          <cell r="J9">
            <v>5612.78</v>
          </cell>
        </row>
        <row r="10">
          <cell r="A10" t="str">
            <v>TV ANALISTA PLANEJAM 09 40H</v>
          </cell>
          <cell r="B10" t="str">
            <v>TV ANALISTA PLANEJAM</v>
          </cell>
          <cell r="C10" t="str">
            <v>Tabela de Valores Analista de Planejamento</v>
          </cell>
          <cell r="D10" t="str">
            <v>40H</v>
          </cell>
          <cell r="E10">
            <v>41091</v>
          </cell>
          <cell r="G10" t="str">
            <v>09</v>
          </cell>
          <cell r="H10" t="str">
            <v>Grau C - Nível 3</v>
          </cell>
          <cell r="I10" t="str">
            <v>Básico</v>
          </cell>
          <cell r="J10">
            <v>5781.16</v>
          </cell>
        </row>
        <row r="11">
          <cell r="A11" t="str">
            <v>TV ANALISTA PLANEJAM 10 40H</v>
          </cell>
          <cell r="B11" t="str">
            <v>TV ANALISTA PLANEJAM</v>
          </cell>
          <cell r="C11" t="str">
            <v>Tabela de Valores Analista de Planejamento</v>
          </cell>
          <cell r="D11" t="str">
            <v>40H</v>
          </cell>
          <cell r="E11">
            <v>41091</v>
          </cell>
          <cell r="G11" t="str">
            <v>10</v>
          </cell>
          <cell r="H11" t="str">
            <v>Grau D - Nível 1</v>
          </cell>
          <cell r="I11" t="str">
            <v>Básico</v>
          </cell>
          <cell r="J11">
            <v>6330.37</v>
          </cell>
        </row>
        <row r="12">
          <cell r="A12" t="str">
            <v>TV ANALISTA PLANEJAM 11 40H</v>
          </cell>
          <cell r="B12" t="str">
            <v>TV ANALISTA PLANEJAM</v>
          </cell>
          <cell r="C12" t="str">
            <v>Tabela de Valores Analista de Planejamento</v>
          </cell>
          <cell r="D12" t="str">
            <v>40H</v>
          </cell>
          <cell r="E12">
            <v>41091</v>
          </cell>
          <cell r="G12" t="str">
            <v>11</v>
          </cell>
          <cell r="H12" t="str">
            <v>Grau D - Nível 2</v>
          </cell>
          <cell r="I12" t="str">
            <v>Básico</v>
          </cell>
          <cell r="J12">
            <v>6520.28</v>
          </cell>
        </row>
        <row r="13">
          <cell r="A13" t="str">
            <v>TV ANALISTA PLANEJAM 12 40H</v>
          </cell>
          <cell r="B13" t="str">
            <v>TV ANALISTA PLANEJAM</v>
          </cell>
          <cell r="C13" t="str">
            <v>Tabela de Valores Analista de Planejamento</v>
          </cell>
          <cell r="D13" t="str">
            <v>40H</v>
          </cell>
          <cell r="E13">
            <v>41091</v>
          </cell>
          <cell r="G13" t="str">
            <v>12</v>
          </cell>
          <cell r="H13" t="str">
            <v>Grau D - Nível 3</v>
          </cell>
          <cell r="I13" t="str">
            <v>Básico</v>
          </cell>
          <cell r="J13">
            <v>6715.88</v>
          </cell>
        </row>
        <row r="14">
          <cell r="A14" t="str">
            <v>TV ANALISTA PLANEJAM 13 40H</v>
          </cell>
          <cell r="B14" t="str">
            <v>TV ANALISTA PLANEJAM</v>
          </cell>
          <cell r="C14" t="str">
            <v>Tabela de Valores Analista de Planejamento</v>
          </cell>
          <cell r="D14" t="str">
            <v>40H</v>
          </cell>
          <cell r="E14">
            <v>41091</v>
          </cell>
          <cell r="G14" t="str">
            <v>13</v>
          </cell>
          <cell r="H14" t="str">
            <v>Grau E - Nível 1</v>
          </cell>
          <cell r="I14" t="str">
            <v>Básico</v>
          </cell>
          <cell r="J14">
            <v>7353.88</v>
          </cell>
        </row>
        <row r="15">
          <cell r="A15" t="str">
            <v>TV ANALISTA PLANEJAM 14 40H</v>
          </cell>
          <cell r="B15" t="str">
            <v>TV ANALISTA PLANEJAM</v>
          </cell>
          <cell r="C15" t="str">
            <v>Tabela de Valores Analista de Planejamento</v>
          </cell>
          <cell r="D15" t="str">
            <v>40H</v>
          </cell>
          <cell r="E15">
            <v>41091</v>
          </cell>
          <cell r="G15" t="str">
            <v>14</v>
          </cell>
          <cell r="H15" t="str">
            <v>Grau E - Nível 2</v>
          </cell>
          <cell r="I15" t="str">
            <v>Básico</v>
          </cell>
          <cell r="J15">
            <v>7574.49</v>
          </cell>
        </row>
        <row r="16">
          <cell r="A16" t="str">
            <v>TV ANALISTA PLANEJAM 15 40H</v>
          </cell>
          <cell r="B16" t="str">
            <v>TV ANALISTA PLANEJAM</v>
          </cell>
          <cell r="C16" t="str">
            <v>Tabela de Valores Analista de Planejamento</v>
          </cell>
          <cell r="D16" t="str">
            <v>40H</v>
          </cell>
          <cell r="E16">
            <v>41091</v>
          </cell>
          <cell r="G16" t="str">
            <v>15</v>
          </cell>
          <cell r="H16" t="str">
            <v>Grau E - Nível 3</v>
          </cell>
          <cell r="I16" t="str">
            <v>Básico</v>
          </cell>
          <cell r="J16">
            <v>7801.72</v>
          </cell>
        </row>
        <row r="17">
          <cell r="A17" t="str">
            <v>TV ANALISTA PLANEJAM 16 40H</v>
          </cell>
          <cell r="B17" t="str">
            <v>TV ANALISTA PLANEJAM</v>
          </cell>
          <cell r="C17" t="str">
            <v>Tabela de Valores Analista de Planejamento</v>
          </cell>
          <cell r="D17" t="str">
            <v>40H</v>
          </cell>
          <cell r="E17">
            <v>41091</v>
          </cell>
          <cell r="G17" t="str">
            <v>16</v>
          </cell>
          <cell r="H17" t="str">
            <v>Grau F - Nível 1</v>
          </cell>
          <cell r="I17" t="str">
            <v>Básico</v>
          </cell>
          <cell r="J17">
            <v>8542.88</v>
          </cell>
        </row>
        <row r="18">
          <cell r="A18" t="str">
            <v>TV ANALISTA PLANEJAM 17 40H</v>
          </cell>
          <cell r="B18" t="str">
            <v>TV ANALISTA PLANEJAM</v>
          </cell>
          <cell r="C18" t="str">
            <v>Tabela de Valores Analista de Planejamento</v>
          </cell>
          <cell r="D18" t="str">
            <v>40H</v>
          </cell>
          <cell r="E18">
            <v>41091</v>
          </cell>
          <cell r="G18" t="str">
            <v>17</v>
          </cell>
          <cell r="H18" t="str">
            <v>Grau F - Nível 2</v>
          </cell>
          <cell r="I18" t="str">
            <v>Básico</v>
          </cell>
          <cell r="J18">
            <v>8799.16</v>
          </cell>
        </row>
        <row r="19">
          <cell r="A19" t="str">
            <v>TV ANALISTA PLANEJAM 18 40H</v>
          </cell>
          <cell r="B19" t="str">
            <v>TV ANALISTA PLANEJAM</v>
          </cell>
          <cell r="C19" t="str">
            <v>Tabela de Valores Analista de Planejamento</v>
          </cell>
          <cell r="D19" t="str">
            <v>40H</v>
          </cell>
          <cell r="E19">
            <v>41091</v>
          </cell>
          <cell r="G19" t="str">
            <v>18</v>
          </cell>
          <cell r="H19" t="str">
            <v>Grau F - Nível 3</v>
          </cell>
          <cell r="I19" t="str">
            <v>Básico</v>
          </cell>
          <cell r="J19">
            <v>9063.13</v>
          </cell>
        </row>
        <row r="20">
          <cell r="A20" t="str">
            <v>TV BRIGADA MILITAR 01 40H</v>
          </cell>
          <cell r="B20" t="str">
            <v>TV BRIGADA MILITAR</v>
          </cell>
          <cell r="C20" t="str">
            <v>Tabela de Valores Servidores da Brigada Militar</v>
          </cell>
          <cell r="D20" t="str">
            <v>40H</v>
          </cell>
          <cell r="E20">
            <v>41671</v>
          </cell>
          <cell r="G20" t="str">
            <v>01</v>
          </cell>
          <cell r="H20" t="str">
            <v>2 Sold</v>
          </cell>
          <cell r="I20" t="str">
            <v>Básico</v>
          </cell>
          <cell r="J20">
            <v>494.41</v>
          </cell>
          <cell r="K20" t="str">
            <v>% Risco Vida</v>
          </cell>
          <cell r="L20">
            <v>222</v>
          </cell>
          <cell r="M20" t="str">
            <v>% Giap</v>
          </cell>
          <cell r="O20" t="str">
            <v>Pd Inerente</v>
          </cell>
        </row>
        <row r="21">
          <cell r="A21" t="str">
            <v>TV BRIGADA MILITAR 02 40H</v>
          </cell>
          <cell r="B21" t="str">
            <v>TV BRIGADA MILITAR</v>
          </cell>
          <cell r="C21" t="str">
            <v>Tabela de Valores Servidores da Brigada Militar</v>
          </cell>
          <cell r="D21" t="str">
            <v>40H</v>
          </cell>
          <cell r="E21">
            <v>41671</v>
          </cell>
          <cell r="G21" t="str">
            <v>02</v>
          </cell>
          <cell r="H21" t="str">
            <v>1 Sold</v>
          </cell>
          <cell r="I21" t="str">
            <v>Básico</v>
          </cell>
          <cell r="J21">
            <v>579.1</v>
          </cell>
          <cell r="K21" t="str">
            <v>% Risco Vida</v>
          </cell>
          <cell r="L21">
            <v>222</v>
          </cell>
          <cell r="M21" t="str">
            <v>% Giap</v>
          </cell>
          <cell r="O21" t="str">
            <v>Pd Inerente</v>
          </cell>
        </row>
        <row r="22">
          <cell r="A22" t="str">
            <v>TV BRIGADA MILITAR 03 40H</v>
          </cell>
          <cell r="B22" t="str">
            <v>TV BRIGADA MILITAR</v>
          </cell>
          <cell r="C22" t="str">
            <v>Tabela de Valores Servidores da Brigada Militar</v>
          </cell>
          <cell r="D22" t="str">
            <v>40H</v>
          </cell>
          <cell r="E22">
            <v>41671</v>
          </cell>
          <cell r="G22" t="str">
            <v>03</v>
          </cell>
          <cell r="H22" t="str">
            <v>Cabo</v>
          </cell>
          <cell r="I22" t="str">
            <v>Básico</v>
          </cell>
          <cell r="J22">
            <v>606.68</v>
          </cell>
          <cell r="K22" t="str">
            <v>% Risco Vida</v>
          </cell>
          <cell r="L22">
            <v>222</v>
          </cell>
          <cell r="M22" t="str">
            <v>% Giap</v>
          </cell>
          <cell r="O22" t="str">
            <v>Pd Inerente</v>
          </cell>
        </row>
        <row r="23">
          <cell r="A23" t="str">
            <v>TV BRIGADA MILITAR 04 40H</v>
          </cell>
          <cell r="B23" t="str">
            <v>TV BRIGADA MILITAR</v>
          </cell>
          <cell r="C23" t="str">
            <v>Tabela de Valores Servidores da Brigada Militar</v>
          </cell>
          <cell r="D23" t="str">
            <v>40H</v>
          </cell>
          <cell r="E23">
            <v>41671</v>
          </cell>
          <cell r="G23" t="str">
            <v>04</v>
          </cell>
          <cell r="H23" t="str">
            <v>3 Sarg</v>
          </cell>
          <cell r="I23" t="str">
            <v>Básico</v>
          </cell>
          <cell r="J23">
            <v>689.41</v>
          </cell>
          <cell r="K23" t="str">
            <v>% Risco Vida</v>
          </cell>
          <cell r="L23">
            <v>222</v>
          </cell>
          <cell r="M23" t="str">
            <v>% Giap</v>
          </cell>
          <cell r="O23" t="str">
            <v>Pd Inerente</v>
          </cell>
        </row>
        <row r="24">
          <cell r="A24" t="str">
            <v>TV BRIGADA MILITAR 05 40H</v>
          </cell>
          <cell r="B24" t="str">
            <v>TV BRIGADA MILITAR</v>
          </cell>
          <cell r="C24" t="str">
            <v>Tabela de Valores Servidores da Brigada Militar</v>
          </cell>
          <cell r="D24" t="str">
            <v>40H</v>
          </cell>
          <cell r="E24">
            <v>41671</v>
          </cell>
          <cell r="G24" t="str">
            <v>05</v>
          </cell>
          <cell r="H24" t="str">
            <v>2 Sarg</v>
          </cell>
          <cell r="I24" t="str">
            <v>Básico</v>
          </cell>
          <cell r="J24">
            <v>772.14</v>
          </cell>
          <cell r="K24" t="str">
            <v>% Risco Vida</v>
          </cell>
          <cell r="L24">
            <v>222</v>
          </cell>
          <cell r="M24" t="str">
            <v>% Giap</v>
          </cell>
          <cell r="O24" t="str">
            <v>Pd Inerente</v>
          </cell>
        </row>
        <row r="25">
          <cell r="A25" t="str">
            <v>TV BRIGADA MILITAR 06 40H</v>
          </cell>
          <cell r="B25" t="str">
            <v>TV BRIGADA MILITAR</v>
          </cell>
          <cell r="C25" t="str">
            <v>Tabela de Valores Servidores da Brigada Militar</v>
          </cell>
          <cell r="D25" t="str">
            <v>40H</v>
          </cell>
          <cell r="E25">
            <v>41671</v>
          </cell>
          <cell r="G25" t="str">
            <v>06</v>
          </cell>
          <cell r="H25" t="str">
            <v>1 Sarg</v>
          </cell>
          <cell r="I25" t="str">
            <v>Básico</v>
          </cell>
          <cell r="J25">
            <v>827.29</v>
          </cell>
          <cell r="K25" t="str">
            <v>% Risco Vida</v>
          </cell>
          <cell r="L25">
            <v>222</v>
          </cell>
          <cell r="M25" t="str">
            <v>% Giap</v>
          </cell>
          <cell r="O25" t="str">
            <v>Pd Inerente</v>
          </cell>
        </row>
        <row r="26">
          <cell r="A26" t="str">
            <v>TV BRIGADA MILITAR 07 40H</v>
          </cell>
          <cell r="B26" t="str">
            <v>TV BRIGADA MILITAR</v>
          </cell>
          <cell r="C26" t="str">
            <v>Tabela de Valores Servidores da Brigada Militar</v>
          </cell>
          <cell r="D26" t="str">
            <v>40H</v>
          </cell>
          <cell r="E26">
            <v>41671</v>
          </cell>
          <cell r="G26" t="str">
            <v>07</v>
          </cell>
          <cell r="H26" t="str">
            <v>Aspirante</v>
          </cell>
          <cell r="I26" t="str">
            <v>Básico</v>
          </cell>
          <cell r="J26">
            <v>934.22</v>
          </cell>
          <cell r="K26" t="str">
            <v>% Risco Vida</v>
          </cell>
          <cell r="L26">
            <v>222</v>
          </cell>
          <cell r="M26" t="str">
            <v>% Giap</v>
          </cell>
          <cell r="O26" t="str">
            <v>Pd Inerente</v>
          </cell>
        </row>
        <row r="27">
          <cell r="A27" t="str">
            <v>TV BRIGADA MILITAR 08 40H</v>
          </cell>
          <cell r="B27" t="str">
            <v>TV BRIGADA MILITAR</v>
          </cell>
          <cell r="C27" t="str">
            <v>Tabela de Valores Servidores da Brigada Militar</v>
          </cell>
          <cell r="D27" t="str">
            <v>40H</v>
          </cell>
          <cell r="E27">
            <v>41671</v>
          </cell>
          <cell r="G27" t="str">
            <v>08</v>
          </cell>
          <cell r="H27" t="str">
            <v>Sub-tenente</v>
          </cell>
          <cell r="I27" t="str">
            <v>Básico</v>
          </cell>
          <cell r="J27">
            <v>934.22</v>
          </cell>
          <cell r="K27" t="str">
            <v>% Risco Vida</v>
          </cell>
          <cell r="L27">
            <v>222</v>
          </cell>
          <cell r="M27" t="str">
            <v>% Giap</v>
          </cell>
          <cell r="O27" t="str">
            <v>Pd Inerente</v>
          </cell>
        </row>
        <row r="28">
          <cell r="A28" t="str">
            <v>TV BRIGADA MILITAR 09 40H</v>
          </cell>
          <cell r="B28" t="str">
            <v>TV BRIGADA MILITAR</v>
          </cell>
          <cell r="C28" t="str">
            <v>Tabela de Valores Servidores da Brigada Militar</v>
          </cell>
          <cell r="D28" t="str">
            <v>40H</v>
          </cell>
          <cell r="E28">
            <v>41671</v>
          </cell>
          <cell r="G28" t="str">
            <v>09</v>
          </cell>
          <cell r="H28" t="str">
            <v>2 tenente</v>
          </cell>
          <cell r="I28" t="str">
            <v>Básico</v>
          </cell>
          <cell r="J28">
            <v>1051.79</v>
          </cell>
          <cell r="K28" t="str">
            <v>% Risco Vida</v>
          </cell>
          <cell r="L28">
            <v>222</v>
          </cell>
          <cell r="M28" t="str">
            <v>% Giap</v>
          </cell>
          <cell r="O28" t="str">
            <v>Pd Inerente</v>
          </cell>
          <cell r="P28">
            <v>4</v>
          </cell>
        </row>
        <row r="29">
          <cell r="A29" t="str">
            <v>TV BRIGADA MILITAR 10 40H</v>
          </cell>
          <cell r="B29" t="str">
            <v>TV BRIGADA MILITAR</v>
          </cell>
          <cell r="C29" t="str">
            <v>Tabela de Valores Servidores da Brigada Militar</v>
          </cell>
          <cell r="D29" t="str">
            <v>40H</v>
          </cell>
          <cell r="E29">
            <v>41671</v>
          </cell>
          <cell r="G29" t="str">
            <v>10</v>
          </cell>
          <cell r="H29" t="str">
            <v>1 tenente</v>
          </cell>
          <cell r="I29" t="str">
            <v>Básico</v>
          </cell>
          <cell r="J29">
            <v>1130.63</v>
          </cell>
          <cell r="K29" t="str">
            <v>% Risco Vida</v>
          </cell>
          <cell r="L29">
            <v>222</v>
          </cell>
          <cell r="M29" t="str">
            <v>% Giap</v>
          </cell>
          <cell r="O29" t="str">
            <v>Pd Inerente</v>
          </cell>
          <cell r="P29">
            <v>5</v>
          </cell>
        </row>
        <row r="30">
          <cell r="A30" t="str">
            <v>TV BRIGADA MILITAR 11 40H</v>
          </cell>
          <cell r="B30" t="str">
            <v>TV BRIGADA MILITAR</v>
          </cell>
          <cell r="C30" t="str">
            <v>Tabela de Valores Servidores da Brigada Militar</v>
          </cell>
          <cell r="D30" t="str">
            <v>40H</v>
          </cell>
          <cell r="E30">
            <v>41671</v>
          </cell>
          <cell r="G30" t="str">
            <v>11</v>
          </cell>
          <cell r="H30" t="str">
            <v>Capitao</v>
          </cell>
          <cell r="I30" t="str">
            <v>Básico</v>
          </cell>
          <cell r="J30">
            <v>7212.41</v>
          </cell>
          <cell r="K30" t="str">
            <v>% Risco Vida</v>
          </cell>
          <cell r="M30" t="str">
            <v>% Giap</v>
          </cell>
          <cell r="O30" t="str">
            <v>Pd Inerente</v>
          </cell>
        </row>
        <row r="31">
          <cell r="A31" t="str">
            <v>TV BRIGADA MILITAR 12 40H</v>
          </cell>
          <cell r="B31" t="str">
            <v>TV BRIGADA MILITAR</v>
          </cell>
          <cell r="C31" t="str">
            <v>Tabela de Valores Servidores da Brigada Militar</v>
          </cell>
          <cell r="D31" t="str">
            <v>40H</v>
          </cell>
          <cell r="E31">
            <v>41671</v>
          </cell>
          <cell r="G31" t="str">
            <v>12</v>
          </cell>
          <cell r="H31" t="str">
            <v>Major</v>
          </cell>
          <cell r="I31" t="str">
            <v>Básico</v>
          </cell>
          <cell r="J31">
            <v>8013.8</v>
          </cell>
          <cell r="K31" t="str">
            <v>% Risco Vida</v>
          </cell>
          <cell r="M31" t="str">
            <v>% Giap</v>
          </cell>
          <cell r="O31" t="str">
            <v>Pd Inerente</v>
          </cell>
        </row>
        <row r="32">
          <cell r="A32" t="str">
            <v>TV BRIGADA MILITAR 13 40H</v>
          </cell>
          <cell r="B32" t="str">
            <v>TV BRIGADA MILITAR</v>
          </cell>
          <cell r="C32" t="str">
            <v>Tabela de Valores Servidores da Brigada Militar</v>
          </cell>
          <cell r="D32" t="str">
            <v>40H</v>
          </cell>
          <cell r="E32">
            <v>41671</v>
          </cell>
          <cell r="G32" t="str">
            <v>13</v>
          </cell>
          <cell r="H32" t="str">
            <v>Ten-Coronel</v>
          </cell>
          <cell r="I32" t="str">
            <v>Básico</v>
          </cell>
          <cell r="J32">
            <v>8435.58</v>
          </cell>
          <cell r="K32" t="str">
            <v>% Risco Vida</v>
          </cell>
          <cell r="M32" t="str">
            <v>% Giap</v>
          </cell>
          <cell r="O32" t="str">
            <v>Pd Inerente</v>
          </cell>
        </row>
        <row r="33">
          <cell r="A33" t="str">
            <v>TV BRIGADA MILITAR 14 40H</v>
          </cell>
          <cell r="B33" t="str">
            <v>TV BRIGADA MILITAR</v>
          </cell>
          <cell r="C33" t="str">
            <v>Tabela de Valores Servidores da Brigada Militar</v>
          </cell>
          <cell r="D33" t="str">
            <v>40H</v>
          </cell>
          <cell r="E33">
            <v>41671</v>
          </cell>
          <cell r="G33" t="str">
            <v>14</v>
          </cell>
          <cell r="H33" t="str">
            <v>Coronel</v>
          </cell>
          <cell r="I33" t="str">
            <v>Básico</v>
          </cell>
          <cell r="J33">
            <v>8879.56</v>
          </cell>
          <cell r="K33" t="str">
            <v>% Risco Vida</v>
          </cell>
          <cell r="M33" t="str">
            <v>% Giap</v>
          </cell>
          <cell r="O33" t="str">
            <v>Pd Inerente</v>
          </cell>
        </row>
        <row r="34">
          <cell r="A34" t="str">
            <v>TV BRIGADA MILITAR 15 40H</v>
          </cell>
          <cell r="B34" t="str">
            <v>TV BRIGADA MILITAR</v>
          </cell>
          <cell r="C34" t="str">
            <v>Tabela de Valores Servidores da Brigada Militar</v>
          </cell>
          <cell r="D34" t="str">
            <v>40H</v>
          </cell>
          <cell r="E34">
            <v>41671</v>
          </cell>
          <cell r="G34" t="str">
            <v>15</v>
          </cell>
          <cell r="H34" t="str">
            <v>Sold Temp-Curso</v>
          </cell>
          <cell r="I34" t="str">
            <v>Básico</v>
          </cell>
          <cell r="J34">
            <v>761.28</v>
          </cell>
          <cell r="K34" t="str">
            <v>% Risco Vida</v>
          </cell>
          <cell r="M34" t="str">
            <v>% Giap</v>
          </cell>
          <cell r="O34" t="str">
            <v>Pd Inerente</v>
          </cell>
        </row>
        <row r="35">
          <cell r="A35" t="str">
            <v>TV BRIGADA MILITAR 16 40H</v>
          </cell>
          <cell r="B35" t="str">
            <v>TV BRIGADA MILITAR</v>
          </cell>
          <cell r="C35" t="str">
            <v>Tabela de Valores Servidores da Brigada Militar</v>
          </cell>
          <cell r="D35" t="str">
            <v>40H</v>
          </cell>
          <cell r="E35">
            <v>41671</v>
          </cell>
          <cell r="G35" t="str">
            <v>16</v>
          </cell>
          <cell r="H35" t="str">
            <v>Sold Temp-1 ano</v>
          </cell>
          <cell r="I35" t="str">
            <v>Básico</v>
          </cell>
          <cell r="J35">
            <v>1398.52</v>
          </cell>
          <cell r="K35" t="str">
            <v>% Risco Vida</v>
          </cell>
          <cell r="M35" t="str">
            <v>% Giap</v>
          </cell>
          <cell r="O35" t="str">
            <v>Pd Inerente</v>
          </cell>
        </row>
        <row r="36">
          <cell r="A36" t="str">
            <v>TV BRIGADA MILITAR 17 40H</v>
          </cell>
          <cell r="B36" t="str">
            <v>TV BRIGADA MILITAR</v>
          </cell>
          <cell r="C36" t="str">
            <v>Tabela de Valores Servidores da Brigada Militar</v>
          </cell>
          <cell r="D36" t="str">
            <v>40H</v>
          </cell>
          <cell r="E36">
            <v>41671</v>
          </cell>
          <cell r="G36" t="str">
            <v>17</v>
          </cell>
          <cell r="H36" t="str">
            <v>Sold Temp-2 ano</v>
          </cell>
          <cell r="I36" t="str">
            <v>Básico</v>
          </cell>
          <cell r="J36">
            <v>1491.76</v>
          </cell>
          <cell r="K36" t="str">
            <v>% Risco Vida</v>
          </cell>
          <cell r="M36" t="str">
            <v>% Giap</v>
          </cell>
          <cell r="O36" t="str">
            <v>Pd Inerente</v>
          </cell>
        </row>
        <row r="37">
          <cell r="A37" t="str">
            <v>TV BRIGADA MILITAR 18 40H</v>
          </cell>
          <cell r="B37" t="str">
            <v>TV BRIGADA MILITAR</v>
          </cell>
          <cell r="C37" t="str">
            <v>Tabela de Valores Servidores da Brigada Militar</v>
          </cell>
          <cell r="D37" t="str">
            <v>40H</v>
          </cell>
          <cell r="E37">
            <v>41671</v>
          </cell>
          <cell r="G37" t="str">
            <v>18</v>
          </cell>
          <cell r="H37" t="str">
            <v>Salva-Vida Civil</v>
          </cell>
          <cell r="I37" t="str">
            <v>Básico</v>
          </cell>
          <cell r="J37">
            <v>1389</v>
          </cell>
          <cell r="K37" t="str">
            <v>% Risco Vida</v>
          </cell>
          <cell r="L37">
            <v>100</v>
          </cell>
          <cell r="M37" t="str">
            <v>% Giap</v>
          </cell>
          <cell r="O37" t="str">
            <v>Pd Inerente</v>
          </cell>
        </row>
        <row r="38">
          <cell r="A38" t="str">
            <v>TV BRIGADA MILITAR 19 40H</v>
          </cell>
          <cell r="B38" t="str">
            <v>TV BRIGADA MILITAR</v>
          </cell>
          <cell r="C38" t="str">
            <v>Tabela de Valores Servidores da Brigada Militar</v>
          </cell>
          <cell r="D38" t="str">
            <v>40H</v>
          </cell>
          <cell r="E38">
            <v>41671</v>
          </cell>
          <cell r="G38" t="str">
            <v>19</v>
          </cell>
          <cell r="H38" t="str">
            <v>CVMI</v>
          </cell>
          <cell r="I38" t="str">
            <v>Básico</v>
          </cell>
          <cell r="J38">
            <v>1137.6</v>
          </cell>
          <cell r="K38" t="str">
            <v>% Risco Vida</v>
          </cell>
          <cell r="M38" t="str">
            <v>% Giap</v>
          </cell>
          <cell r="O38" t="str">
            <v>Pd Inerente</v>
          </cell>
        </row>
        <row r="39">
          <cell r="A39" t="str">
            <v>TV BRIGADA MILITAR 20 40H</v>
          </cell>
          <cell r="B39" t="str">
            <v>TV BRIGADA MILITAR</v>
          </cell>
          <cell r="C39" t="str">
            <v>Tabela de Valores Servidores da Brigada Militar</v>
          </cell>
          <cell r="D39" t="str">
            <v>40H</v>
          </cell>
          <cell r="E39">
            <v>41671</v>
          </cell>
          <cell r="G39" t="str">
            <v>20</v>
          </cell>
          <cell r="H39" t="str">
            <v>CVMI - Judicial</v>
          </cell>
          <cell r="I39" t="str">
            <v>Básico</v>
          </cell>
          <cell r="J39">
            <v>613.52</v>
          </cell>
          <cell r="K39" t="str">
            <v>% Risco Vida</v>
          </cell>
          <cell r="M39" t="str">
            <v>% Giap</v>
          </cell>
          <cell r="O39" t="str">
            <v>Pd Inerente</v>
          </cell>
        </row>
        <row r="40">
          <cell r="A40" t="str">
            <v>TV CC FG TRIB CONTAS 01 40H</v>
          </cell>
          <cell r="B40" t="str">
            <v>TV CC FG TRIB CONTAS</v>
          </cell>
          <cell r="C40" t="str">
            <v>Tabela de CC/FG Trib. Contas - Lei 13.268/09</v>
          </cell>
          <cell r="D40" t="str">
            <v>40H</v>
          </cell>
          <cell r="E40">
            <v>41548</v>
          </cell>
          <cell r="G40" t="str">
            <v>01</v>
          </cell>
          <cell r="H40" t="str">
            <v>CCTC01</v>
          </cell>
          <cell r="I40" t="str">
            <v>Básico</v>
          </cell>
          <cell r="J40">
            <v>1604.1</v>
          </cell>
        </row>
        <row r="41">
          <cell r="A41" t="str">
            <v>TV CC FG TRIB CONTAS 02 40H</v>
          </cell>
          <cell r="B41" t="str">
            <v>TV CC FG TRIB CONTAS</v>
          </cell>
          <cell r="C41" t="str">
            <v>Tabela de CC/FG Trib. Contas - Lei 13.268/09</v>
          </cell>
          <cell r="D41" t="str">
            <v>40H</v>
          </cell>
          <cell r="E41">
            <v>41548</v>
          </cell>
          <cell r="G41" t="str">
            <v>02</v>
          </cell>
          <cell r="H41" t="str">
            <v>FGTC01</v>
          </cell>
          <cell r="I41" t="str">
            <v>Básico</v>
          </cell>
          <cell r="J41">
            <v>240.9</v>
          </cell>
        </row>
        <row r="42">
          <cell r="A42" t="str">
            <v>TV CC FG TRIB CONTAS 03 40H</v>
          </cell>
          <cell r="B42" t="str">
            <v>TV CC FG TRIB CONTAS</v>
          </cell>
          <cell r="C42" t="str">
            <v>Tabela de CC/FG Trib. Contas - Lei 13.268/09</v>
          </cell>
          <cell r="D42" t="str">
            <v>40H</v>
          </cell>
          <cell r="E42">
            <v>41548</v>
          </cell>
          <cell r="G42" t="str">
            <v>03</v>
          </cell>
          <cell r="H42" t="str">
            <v>CCTC02</v>
          </cell>
          <cell r="I42" t="str">
            <v>Básico</v>
          </cell>
          <cell r="J42">
            <v>2160.75</v>
          </cell>
        </row>
        <row r="43">
          <cell r="A43" t="str">
            <v>TV CC FG TRIB CONTAS 04 40H</v>
          </cell>
          <cell r="B43" t="str">
            <v>TV CC FG TRIB CONTAS</v>
          </cell>
          <cell r="C43" t="str">
            <v>Tabela de CC/FG Trib. Contas - Lei 13.268/09</v>
          </cell>
          <cell r="D43" t="str">
            <v>40H</v>
          </cell>
          <cell r="E43">
            <v>41548</v>
          </cell>
          <cell r="G43" t="str">
            <v>04</v>
          </cell>
          <cell r="H43" t="str">
            <v>FGTC02</v>
          </cell>
          <cell r="I43" t="str">
            <v>Básico</v>
          </cell>
          <cell r="J43">
            <v>299.07</v>
          </cell>
        </row>
        <row r="44">
          <cell r="A44" t="str">
            <v>TV CC FG TRIB CONTAS 05 40H</v>
          </cell>
          <cell r="B44" t="str">
            <v>TV CC FG TRIB CONTAS</v>
          </cell>
          <cell r="C44" t="str">
            <v>Tabela de CC/FG Trib. Contas - Lei 13.268/09</v>
          </cell>
          <cell r="D44" t="str">
            <v>40H</v>
          </cell>
          <cell r="E44">
            <v>41548</v>
          </cell>
          <cell r="G44" t="str">
            <v>05</v>
          </cell>
          <cell r="H44" t="str">
            <v>CCTC03</v>
          </cell>
          <cell r="I44" t="str">
            <v>Básico</v>
          </cell>
          <cell r="J44">
            <v>2714.41</v>
          </cell>
        </row>
        <row r="45">
          <cell r="A45" t="str">
            <v>TV CC FG TRIB CONTAS 06 40H</v>
          </cell>
          <cell r="B45" t="str">
            <v>TV CC FG TRIB CONTAS</v>
          </cell>
          <cell r="C45" t="str">
            <v>Tabela de CC/FG Trib. Contas - Lei 13.268/09</v>
          </cell>
          <cell r="D45" t="str">
            <v>40H</v>
          </cell>
          <cell r="E45">
            <v>41548</v>
          </cell>
          <cell r="G45" t="str">
            <v>06</v>
          </cell>
          <cell r="H45" t="str">
            <v>FGTC03</v>
          </cell>
          <cell r="I45" t="str">
            <v>Básico</v>
          </cell>
          <cell r="J45">
            <v>363.1</v>
          </cell>
        </row>
        <row r="46">
          <cell r="A46" t="str">
            <v>TV CC FG TRIB CONTAS 07 40H</v>
          </cell>
          <cell r="B46" t="str">
            <v>TV CC FG TRIB CONTAS</v>
          </cell>
          <cell r="C46" t="str">
            <v>Tabela de CC/FG Trib. Contas - Lei 13.268/09</v>
          </cell>
          <cell r="D46" t="str">
            <v>40H</v>
          </cell>
          <cell r="E46">
            <v>41548</v>
          </cell>
          <cell r="G46" t="str">
            <v>07</v>
          </cell>
          <cell r="H46" t="str">
            <v>CCTC04</v>
          </cell>
          <cell r="I46" t="str">
            <v>Básico</v>
          </cell>
          <cell r="J46">
            <v>3269.97</v>
          </cell>
        </row>
        <row r="47">
          <cell r="A47" t="str">
            <v>TV CC FG TRIB CONTAS 08 40H</v>
          </cell>
          <cell r="B47" t="str">
            <v>TV CC FG TRIB CONTAS</v>
          </cell>
          <cell r="C47" t="str">
            <v>Tabela de CC/FG Trib. Contas - Lei 13.268/09</v>
          </cell>
          <cell r="D47" t="str">
            <v>40H</v>
          </cell>
          <cell r="E47">
            <v>41548</v>
          </cell>
          <cell r="G47" t="str">
            <v>08</v>
          </cell>
          <cell r="H47" t="str">
            <v>FGTC04</v>
          </cell>
          <cell r="I47" t="str">
            <v>Básico</v>
          </cell>
          <cell r="J47">
            <v>405.36</v>
          </cell>
        </row>
        <row r="48">
          <cell r="A48" t="str">
            <v>TV CC FG TRIB CONTAS 09 40H</v>
          </cell>
          <cell r="B48" t="str">
            <v>TV CC FG TRIB CONTAS</v>
          </cell>
          <cell r="C48" t="str">
            <v>Tabela de CC/FG Trib. Contas - Lei 13.268/09</v>
          </cell>
          <cell r="D48" t="str">
            <v>40H</v>
          </cell>
          <cell r="E48">
            <v>41548</v>
          </cell>
          <cell r="G48" t="str">
            <v>09</v>
          </cell>
          <cell r="H48" t="str">
            <v>CCTC05</v>
          </cell>
          <cell r="I48" t="str">
            <v>Básico</v>
          </cell>
          <cell r="J48">
            <v>3512.02</v>
          </cell>
        </row>
        <row r="49">
          <cell r="A49" t="str">
            <v>TV CC FG TRIB CONTAS 10 40H</v>
          </cell>
          <cell r="B49" t="str">
            <v>TV CC FG TRIB CONTAS</v>
          </cell>
          <cell r="C49" t="str">
            <v>Tabela de CC/FG Trib. Contas - Lei 13.268/09</v>
          </cell>
          <cell r="D49" t="str">
            <v>40H</v>
          </cell>
          <cell r="E49">
            <v>41548</v>
          </cell>
          <cell r="G49" t="str">
            <v>10</v>
          </cell>
          <cell r="H49" t="str">
            <v>FGTC05</v>
          </cell>
          <cell r="I49" t="str">
            <v>Básico</v>
          </cell>
          <cell r="J49">
            <v>570.78</v>
          </cell>
        </row>
        <row r="50">
          <cell r="A50" t="str">
            <v>TV CC FG TRIB CONTAS 11 40H</v>
          </cell>
          <cell r="B50" t="str">
            <v>TV CC FG TRIB CONTAS</v>
          </cell>
          <cell r="C50" t="str">
            <v>Tabela de CC/FG Trib. Contas - Lei 13.268/09</v>
          </cell>
          <cell r="D50" t="str">
            <v>40H</v>
          </cell>
          <cell r="E50">
            <v>41548</v>
          </cell>
          <cell r="G50" t="str">
            <v>11</v>
          </cell>
          <cell r="H50" t="str">
            <v>CCTC06</v>
          </cell>
          <cell r="I50" t="str">
            <v>Básico</v>
          </cell>
          <cell r="J50">
            <v>3823.95</v>
          </cell>
        </row>
        <row r="51">
          <cell r="A51" t="str">
            <v>TV CC FG TRIB CONTAS 12 40H</v>
          </cell>
          <cell r="B51" t="str">
            <v>TV CC FG TRIB CONTAS</v>
          </cell>
          <cell r="C51" t="str">
            <v>Tabela de CC/FG Trib. Contas - Lei 13.268/09</v>
          </cell>
          <cell r="D51" t="str">
            <v>40H</v>
          </cell>
          <cell r="E51">
            <v>41548</v>
          </cell>
          <cell r="G51" t="str">
            <v>12</v>
          </cell>
          <cell r="H51" t="str">
            <v>FGTC06</v>
          </cell>
          <cell r="I51" t="str">
            <v>Básico</v>
          </cell>
          <cell r="J51">
            <v>705.7</v>
          </cell>
        </row>
        <row r="52">
          <cell r="A52" t="str">
            <v>TV CC FG TRIB CONTAS 13 40H</v>
          </cell>
          <cell r="B52" t="str">
            <v>TV CC FG TRIB CONTAS</v>
          </cell>
          <cell r="C52" t="str">
            <v>Tabela de CC/FG Trib. Contas - Lei 13.268/09</v>
          </cell>
          <cell r="D52" t="str">
            <v>40H</v>
          </cell>
          <cell r="E52">
            <v>41548</v>
          </cell>
          <cell r="G52" t="str">
            <v>13</v>
          </cell>
          <cell r="H52" t="str">
            <v>CCTC07</v>
          </cell>
          <cell r="I52" t="str">
            <v>Básico</v>
          </cell>
          <cell r="J52">
            <v>3971.46</v>
          </cell>
        </row>
        <row r="53">
          <cell r="A53" t="str">
            <v>TV CC FG TRIB CONTAS 14 40H</v>
          </cell>
          <cell r="B53" t="str">
            <v>TV CC FG TRIB CONTAS</v>
          </cell>
          <cell r="C53" t="str">
            <v>Tabela de CC/FG Trib. Contas - Lei 13.268/09</v>
          </cell>
          <cell r="D53" t="str">
            <v>40H</v>
          </cell>
          <cell r="E53">
            <v>41548</v>
          </cell>
          <cell r="G53" t="str">
            <v>14</v>
          </cell>
          <cell r="H53" t="str">
            <v>FGTC07</v>
          </cell>
          <cell r="I53" t="str">
            <v>Básico</v>
          </cell>
          <cell r="J53">
            <v>831.46</v>
          </cell>
        </row>
        <row r="54">
          <cell r="A54" t="str">
            <v>TV CC FG TRIB CONTAS 15 40H</v>
          </cell>
          <cell r="B54" t="str">
            <v>TV CC FG TRIB CONTAS</v>
          </cell>
          <cell r="C54" t="str">
            <v>Tabela de CC/FG Trib. Contas - Lei 13.268/09</v>
          </cell>
          <cell r="D54" t="str">
            <v>40H</v>
          </cell>
          <cell r="E54">
            <v>41548</v>
          </cell>
          <cell r="G54" t="str">
            <v>15</v>
          </cell>
          <cell r="H54" t="str">
            <v>CCTC08</v>
          </cell>
          <cell r="I54" t="str">
            <v>Básico</v>
          </cell>
          <cell r="J54">
            <v>4303.45</v>
          </cell>
        </row>
        <row r="55">
          <cell r="A55" t="str">
            <v>TV CC FG TRIB CONTAS 16 40H</v>
          </cell>
          <cell r="B55" t="str">
            <v>TV CC FG TRIB CONTAS</v>
          </cell>
          <cell r="C55" t="str">
            <v>Tabela de CC/FG Trib. Contas - Lei 13.268/09</v>
          </cell>
          <cell r="D55" t="str">
            <v>40H</v>
          </cell>
          <cell r="E55">
            <v>41548</v>
          </cell>
          <cell r="G55" t="str">
            <v>16</v>
          </cell>
          <cell r="H55" t="str">
            <v>FGTC08</v>
          </cell>
          <cell r="I55" t="str">
            <v>Básico</v>
          </cell>
          <cell r="J55">
            <v>892.26</v>
          </cell>
        </row>
        <row r="56">
          <cell r="A56" t="str">
            <v>TV CC FG TRIB CONTAS 17 40H</v>
          </cell>
          <cell r="B56" t="str">
            <v>TV CC FG TRIB CONTAS</v>
          </cell>
          <cell r="C56" t="str">
            <v>Tabela de CC/FG Trib. Contas - Lei 13.268/09</v>
          </cell>
          <cell r="D56" t="str">
            <v>40H</v>
          </cell>
          <cell r="E56">
            <v>41548</v>
          </cell>
          <cell r="G56" t="str">
            <v>17</v>
          </cell>
          <cell r="H56" t="str">
            <v>CCTC09</v>
          </cell>
          <cell r="I56" t="str">
            <v>Básico</v>
          </cell>
          <cell r="J56">
            <v>6651.69</v>
          </cell>
        </row>
        <row r="57">
          <cell r="A57" t="str">
            <v>TV CC FG TRIB CONTAS 18 40H</v>
          </cell>
          <cell r="B57" t="str">
            <v>TV CC FG TRIB CONTAS</v>
          </cell>
          <cell r="C57" t="str">
            <v>Tabela de CC/FG Trib. Contas - Lei 13.268/09</v>
          </cell>
          <cell r="D57" t="str">
            <v>40H</v>
          </cell>
          <cell r="E57">
            <v>41548</v>
          </cell>
          <cell r="G57" t="str">
            <v>18</v>
          </cell>
          <cell r="H57" t="str">
            <v>FGTC09</v>
          </cell>
          <cell r="I57" t="str">
            <v>Básico</v>
          </cell>
          <cell r="J57">
            <v>3325.84</v>
          </cell>
        </row>
        <row r="58">
          <cell r="A58" t="str">
            <v>TV CC FG TRIB CONTAS 19 40H</v>
          </cell>
          <cell r="B58" t="str">
            <v>TV CC FG TRIB CONTAS</v>
          </cell>
          <cell r="C58" t="str">
            <v>Tabela de CC/FG Trib. Contas - Lei 13.268/09</v>
          </cell>
          <cell r="D58" t="str">
            <v>40H</v>
          </cell>
          <cell r="E58">
            <v>41548</v>
          </cell>
          <cell r="G58" t="str">
            <v>19</v>
          </cell>
          <cell r="H58" t="str">
            <v>CCTC09 - Ass Superior</v>
          </cell>
          <cell r="I58" t="str">
            <v>Básico</v>
          </cell>
          <cell r="J58">
            <v>9356.36</v>
          </cell>
        </row>
        <row r="59">
          <cell r="A59" t="str">
            <v>TV CC FG TRIB CONTAS 20 40H</v>
          </cell>
          <cell r="B59" t="str">
            <v>TV CC FG TRIB CONTAS</v>
          </cell>
          <cell r="C59" t="str">
            <v>Tabela de CC/FG Trib. Contas - Lei 13.268/09</v>
          </cell>
          <cell r="D59" t="str">
            <v>40H</v>
          </cell>
          <cell r="E59">
            <v>41548</v>
          </cell>
          <cell r="G59" t="str">
            <v>20</v>
          </cell>
          <cell r="H59" t="str">
            <v>FGTC09 - Ass Superior</v>
          </cell>
          <cell r="I59" t="str">
            <v>Básico</v>
          </cell>
          <cell r="J59">
            <v>4678.19</v>
          </cell>
        </row>
        <row r="60">
          <cell r="A60" t="str">
            <v>TV CC FG TRIB CONTAS 21 40H</v>
          </cell>
          <cell r="B60" t="str">
            <v>TV CC FG TRIB CONTAS</v>
          </cell>
          <cell r="C60" t="str">
            <v>Tabela de CC/FG Trib. Contas - Lei 13.268/09</v>
          </cell>
          <cell r="D60" t="str">
            <v>40H</v>
          </cell>
          <cell r="E60">
            <v>41548</v>
          </cell>
          <cell r="G60" t="str">
            <v>21</v>
          </cell>
          <cell r="H60" t="str">
            <v>CCTC10</v>
          </cell>
          <cell r="I60" t="str">
            <v>Básico</v>
          </cell>
          <cell r="J60">
            <v>11224.69</v>
          </cell>
        </row>
        <row r="61">
          <cell r="A61" t="str">
            <v>TV CC FG TRIB CONTAS 22 40H</v>
          </cell>
          <cell r="B61" t="str">
            <v>TV CC FG TRIB CONTAS</v>
          </cell>
          <cell r="C61" t="str">
            <v>Tabela de CC/FG Trib. Contas - Lei 13.268/09</v>
          </cell>
          <cell r="D61" t="str">
            <v>40H</v>
          </cell>
          <cell r="E61">
            <v>41548</v>
          </cell>
          <cell r="G61" t="str">
            <v>22</v>
          </cell>
          <cell r="H61" t="str">
            <v>FGTC10</v>
          </cell>
          <cell r="I61" t="str">
            <v>Básico</v>
          </cell>
          <cell r="J61">
            <v>5612.35</v>
          </cell>
        </row>
        <row r="62">
          <cell r="A62" t="str">
            <v>TV CC FG TRIB CONTAS 23 40H</v>
          </cell>
          <cell r="B62" t="str">
            <v>TV CC FG TRIB CONTAS</v>
          </cell>
          <cell r="C62" t="str">
            <v>Tabela de CC/FG Trib. Contas - Lei 13.268/09</v>
          </cell>
          <cell r="D62" t="str">
            <v>40H</v>
          </cell>
          <cell r="E62">
            <v>41548</v>
          </cell>
          <cell r="G62" t="str">
            <v>23</v>
          </cell>
          <cell r="H62" t="str">
            <v>CCTC11</v>
          </cell>
          <cell r="I62" t="str">
            <v>Básico</v>
          </cell>
          <cell r="J62">
            <v>12680.06</v>
          </cell>
        </row>
        <row r="63">
          <cell r="A63" t="str">
            <v>TV CC FG TRIB CONTAS 24 40H</v>
          </cell>
          <cell r="B63" t="str">
            <v>TV CC FG TRIB CONTAS</v>
          </cell>
          <cell r="C63" t="str">
            <v>Tabela de CC/FG Trib. Contas - Lei 13.268/09</v>
          </cell>
          <cell r="D63" t="str">
            <v>40H</v>
          </cell>
          <cell r="E63">
            <v>41548</v>
          </cell>
          <cell r="G63" t="str">
            <v>24</v>
          </cell>
          <cell r="H63" t="str">
            <v>FGTC11</v>
          </cell>
          <cell r="I63" t="str">
            <v>Básico</v>
          </cell>
          <cell r="J63">
            <v>6340.02</v>
          </cell>
        </row>
        <row r="64">
          <cell r="A64" t="str">
            <v>TV CC FG TRIB CONTAS 25 40H</v>
          </cell>
          <cell r="B64" t="str">
            <v>TV CC FG TRIB CONTAS</v>
          </cell>
          <cell r="C64" t="str">
            <v>Tabela de CC/FG Trib. Contas - Lei 13.268/09</v>
          </cell>
          <cell r="D64" t="str">
            <v>40H</v>
          </cell>
          <cell r="E64">
            <v>41548</v>
          </cell>
          <cell r="G64" t="str">
            <v>25</v>
          </cell>
          <cell r="H64" t="str">
            <v>CCTC11 - Ass Jur Pres</v>
          </cell>
          <cell r="I64" t="str">
            <v>Básico</v>
          </cell>
          <cell r="J64">
            <v>12680.06</v>
          </cell>
        </row>
        <row r="65">
          <cell r="A65" t="str">
            <v>TV CC FG TRIB CONTAS 26 40H</v>
          </cell>
          <cell r="B65" t="str">
            <v>TV CC FG TRIB CONTAS</v>
          </cell>
          <cell r="C65" t="str">
            <v>Tabela de CC/FG Trib. Contas - Lei 13.268/09</v>
          </cell>
          <cell r="D65" t="str">
            <v>40H</v>
          </cell>
          <cell r="E65">
            <v>41548</v>
          </cell>
          <cell r="G65" t="str">
            <v>26</v>
          </cell>
          <cell r="H65" t="str">
            <v>FGTC11 - Ass Jur Pres</v>
          </cell>
          <cell r="I65" t="str">
            <v>Básico</v>
          </cell>
          <cell r="J65">
            <v>6340.02</v>
          </cell>
        </row>
        <row r="66">
          <cell r="A66" t="str">
            <v>TV COMISS ASS LEG 01 40H</v>
          </cell>
          <cell r="B66" t="str">
            <v>TV COMISS ASS LEG</v>
          </cell>
          <cell r="C66" t="str">
            <v>Tabela de Valores Funções Gratificadas da Assembl. Legisl.</v>
          </cell>
          <cell r="D66" t="str">
            <v>40H</v>
          </cell>
          <cell r="E66">
            <v>41548</v>
          </cell>
          <cell r="G66" t="str">
            <v>01</v>
          </cell>
          <cell r="H66" t="str">
            <v>FGPL01</v>
          </cell>
          <cell r="I66" t="str">
            <v>Básico</v>
          </cell>
          <cell r="J66">
            <v>355.41</v>
          </cell>
        </row>
        <row r="67">
          <cell r="A67" t="str">
            <v>TV COMISS ASS LEG 02 40H</v>
          </cell>
          <cell r="B67" t="str">
            <v>TV COMISS ASS LEG</v>
          </cell>
          <cell r="C67" t="str">
            <v>Tabela de Valores Funções Gratificadas da Assembl. Legisl.</v>
          </cell>
          <cell r="D67" t="str">
            <v>40H</v>
          </cell>
          <cell r="E67">
            <v>41548</v>
          </cell>
          <cell r="G67" t="str">
            <v>02</v>
          </cell>
          <cell r="H67" t="str">
            <v>FGPL02</v>
          </cell>
          <cell r="I67" t="str">
            <v>Básico</v>
          </cell>
          <cell r="J67">
            <v>578.25</v>
          </cell>
        </row>
        <row r="68">
          <cell r="A68" t="str">
            <v>TV COMISS ASS LEG 03 40H</v>
          </cell>
          <cell r="B68" t="str">
            <v>TV COMISS ASS LEG</v>
          </cell>
          <cell r="C68" t="str">
            <v>Tabela de Valores Funções Gratificadas da Assembl. Legisl.</v>
          </cell>
          <cell r="D68" t="str">
            <v>40H</v>
          </cell>
          <cell r="E68">
            <v>41548</v>
          </cell>
          <cell r="G68" t="str">
            <v>03</v>
          </cell>
          <cell r="H68" t="str">
            <v>FGPL03</v>
          </cell>
          <cell r="I68" t="str">
            <v>Básico</v>
          </cell>
          <cell r="J68">
            <v>703.1</v>
          </cell>
        </row>
        <row r="69">
          <cell r="A69" t="str">
            <v>TV COMISS ASS LEG 04 40H</v>
          </cell>
          <cell r="B69" t="str">
            <v>TV COMISS ASS LEG</v>
          </cell>
          <cell r="C69" t="str">
            <v>Tabela de Valores Funções Gratificadas da Assembl. Legisl.</v>
          </cell>
          <cell r="D69" t="str">
            <v>40H</v>
          </cell>
          <cell r="E69">
            <v>41548</v>
          </cell>
          <cell r="G69" t="str">
            <v>04</v>
          </cell>
          <cell r="H69" t="str">
            <v>FGPL04</v>
          </cell>
          <cell r="I69" t="str">
            <v>Básico</v>
          </cell>
          <cell r="J69">
            <v>784.1</v>
          </cell>
        </row>
        <row r="70">
          <cell r="A70" t="str">
            <v>TV COMISS ASS LEG 05 40H</v>
          </cell>
          <cell r="B70" t="str">
            <v>TV COMISS ASS LEG</v>
          </cell>
          <cell r="C70" t="str">
            <v>Tabela de Valores Funções Gratificadas da Assembl. Legisl.</v>
          </cell>
          <cell r="D70" t="str">
            <v>40H</v>
          </cell>
          <cell r="E70">
            <v>41548</v>
          </cell>
          <cell r="G70" t="str">
            <v>05</v>
          </cell>
          <cell r="H70" t="str">
            <v>FGPL05</v>
          </cell>
          <cell r="I70" t="str">
            <v>Básico</v>
          </cell>
          <cell r="J70">
            <v>1366.55</v>
          </cell>
        </row>
        <row r="71">
          <cell r="A71" t="str">
            <v>TV COMISS ASS LEG 06 40H</v>
          </cell>
          <cell r="B71" t="str">
            <v>TV COMISS ASS LEG</v>
          </cell>
          <cell r="C71" t="str">
            <v>Tabela de Valores Funções Gratificadas da Assembl. Legisl.</v>
          </cell>
          <cell r="D71" t="str">
            <v>40H</v>
          </cell>
          <cell r="E71">
            <v>41548</v>
          </cell>
          <cell r="G71" t="str">
            <v>06</v>
          </cell>
          <cell r="H71" t="str">
            <v>FGPL06</v>
          </cell>
          <cell r="I71" t="str">
            <v>Básico</v>
          </cell>
          <cell r="J71">
            <v>1726.65</v>
          </cell>
        </row>
        <row r="72">
          <cell r="A72" t="str">
            <v>TV COMISS ASS LEG 07 40H</v>
          </cell>
          <cell r="B72" t="str">
            <v>TV COMISS ASS LEG</v>
          </cell>
          <cell r="C72" t="str">
            <v>Tabela de Valores Funções Gratificadas da Assembl. Legisl.</v>
          </cell>
          <cell r="D72" t="str">
            <v>40H</v>
          </cell>
          <cell r="E72">
            <v>41548</v>
          </cell>
          <cell r="G72" t="str">
            <v>07</v>
          </cell>
          <cell r="H72" t="str">
            <v>FGPL07</v>
          </cell>
          <cell r="I72" t="str">
            <v>Básico</v>
          </cell>
          <cell r="J72">
            <v>1844.87</v>
          </cell>
        </row>
        <row r="73">
          <cell r="A73" t="str">
            <v>TV COMISS ASS LEG 08 40H</v>
          </cell>
          <cell r="B73" t="str">
            <v>TV COMISS ASS LEG</v>
          </cell>
          <cell r="C73" t="str">
            <v>Tabela de Valores Funções Gratificadas da Assembl. Legisl.</v>
          </cell>
          <cell r="D73" t="str">
            <v>40H</v>
          </cell>
          <cell r="E73">
            <v>41548</v>
          </cell>
          <cell r="G73" t="str">
            <v>08</v>
          </cell>
          <cell r="H73" t="str">
            <v>FGPL08</v>
          </cell>
          <cell r="I73" t="str">
            <v>Básico</v>
          </cell>
          <cell r="J73">
            <v>2049.85</v>
          </cell>
        </row>
        <row r="74">
          <cell r="A74" t="str">
            <v>TV COMISS ASS LEG 09 40H</v>
          </cell>
          <cell r="B74" t="str">
            <v>TV COMISS ASS LEG</v>
          </cell>
          <cell r="C74" t="str">
            <v>Tabela de Valores Funções Gratificadas da Assembl. Legisl.</v>
          </cell>
          <cell r="D74" t="str">
            <v>40H</v>
          </cell>
          <cell r="E74">
            <v>41548</v>
          </cell>
          <cell r="G74" t="str">
            <v>09</v>
          </cell>
          <cell r="H74" t="str">
            <v>FGPL09</v>
          </cell>
          <cell r="I74" t="str">
            <v>Básico</v>
          </cell>
          <cell r="J74">
            <v>2676.32</v>
          </cell>
        </row>
        <row r="75">
          <cell r="A75" t="str">
            <v>TV COMISS ASS LEG 10 40H</v>
          </cell>
          <cell r="B75" t="str">
            <v>TV COMISS ASS LEG</v>
          </cell>
          <cell r="C75" t="str">
            <v>Tabela de Valores Funções Gratificadas da Assembl. Legisl.</v>
          </cell>
          <cell r="D75" t="str">
            <v>40H</v>
          </cell>
          <cell r="E75">
            <v>41548</v>
          </cell>
          <cell r="G75" t="str">
            <v>10</v>
          </cell>
          <cell r="H75" t="str">
            <v>FGPL10</v>
          </cell>
          <cell r="I75" t="str">
            <v>Básico</v>
          </cell>
          <cell r="J75">
            <v>3007.27</v>
          </cell>
        </row>
        <row r="76">
          <cell r="A76" t="str">
            <v>TV COMISS ASS LEG 11 40H</v>
          </cell>
          <cell r="B76" t="str">
            <v>TV COMISS ASS LEG</v>
          </cell>
          <cell r="C76" t="str">
            <v>Tabela de Valores Funções Gratificadas da Assembl. Legisl.</v>
          </cell>
          <cell r="D76" t="str">
            <v>40H</v>
          </cell>
          <cell r="E76">
            <v>41548</v>
          </cell>
          <cell r="G76" t="str">
            <v>11</v>
          </cell>
          <cell r="H76" t="str">
            <v>FGPL11</v>
          </cell>
          <cell r="I76" t="str">
            <v>Básico</v>
          </cell>
          <cell r="J76">
            <v>3341.44</v>
          </cell>
        </row>
        <row r="77">
          <cell r="A77" t="str">
            <v>TV COMISS ASS LEG 12 40H</v>
          </cell>
          <cell r="B77" t="str">
            <v>TV COMISS ASS LEG</v>
          </cell>
          <cell r="C77" t="str">
            <v>Tabela de Valores Funções Gratificadas da Assembl. Legisl.</v>
          </cell>
          <cell r="D77" t="str">
            <v>40H</v>
          </cell>
          <cell r="E77">
            <v>41548</v>
          </cell>
          <cell r="G77" t="str">
            <v>12</v>
          </cell>
          <cell r="H77" t="str">
            <v>FGPL12</v>
          </cell>
          <cell r="I77" t="str">
            <v>Básico</v>
          </cell>
          <cell r="J77">
            <v>4031.87</v>
          </cell>
        </row>
        <row r="78">
          <cell r="A78" t="str">
            <v>TV COMISS ASS LEG 13 40H</v>
          </cell>
          <cell r="B78" t="str">
            <v>TV COMISS ASS LEG</v>
          </cell>
          <cell r="C78" t="str">
            <v>Tabela de Valores Funções Gratificadas da Assembl. Legisl.</v>
          </cell>
          <cell r="D78" t="str">
            <v>40H</v>
          </cell>
          <cell r="E78">
            <v>41548</v>
          </cell>
          <cell r="G78" t="str">
            <v>13</v>
          </cell>
          <cell r="H78" t="str">
            <v>FGPL13</v>
          </cell>
          <cell r="I78" t="str">
            <v>Básico</v>
          </cell>
          <cell r="J78">
            <v>4919.74</v>
          </cell>
        </row>
        <row r="79">
          <cell r="A79" t="str">
            <v>TV COMISS ASS LEG 14 40H</v>
          </cell>
          <cell r="B79" t="str">
            <v>TV COMISS ASS LEG</v>
          </cell>
          <cell r="C79" t="str">
            <v>Tabela de Valores Funções Gratificadas da Assembl. Legisl.</v>
          </cell>
          <cell r="D79" t="str">
            <v>40H</v>
          </cell>
          <cell r="E79">
            <v>41548</v>
          </cell>
          <cell r="G79" t="str">
            <v>14</v>
          </cell>
          <cell r="H79" t="str">
            <v>FGPL14</v>
          </cell>
          <cell r="I79" t="str">
            <v>Básico</v>
          </cell>
          <cell r="J79">
            <v>6559.67</v>
          </cell>
        </row>
        <row r="80">
          <cell r="A80" t="str">
            <v>TV COMISS DEFENS 01 40H</v>
          </cell>
          <cell r="B80" t="str">
            <v>TV COMISS DEFENS</v>
          </cell>
          <cell r="C80" t="str">
            <v>Tabela de Valores Comissionamentos Def.Publica</v>
          </cell>
          <cell r="D80" t="str">
            <v>40H</v>
          </cell>
          <cell r="E80">
            <v>40238</v>
          </cell>
          <cell r="G80" t="str">
            <v>01</v>
          </cell>
          <cell r="H80" t="str">
            <v>CC01</v>
          </cell>
          <cell r="I80" t="str">
            <v>Básico</v>
          </cell>
          <cell r="J80">
            <v>300.71</v>
          </cell>
        </row>
        <row r="81">
          <cell r="A81" t="str">
            <v>TV COMISS DEFENS 02 40H</v>
          </cell>
          <cell r="B81" t="str">
            <v>TV COMISS DEFENS</v>
          </cell>
          <cell r="C81" t="str">
            <v>Tabela de Valores Comissionamentos Def.Publica</v>
          </cell>
          <cell r="D81" t="str">
            <v>40H</v>
          </cell>
          <cell r="E81">
            <v>40238</v>
          </cell>
          <cell r="G81" t="str">
            <v>02</v>
          </cell>
          <cell r="H81" t="str">
            <v>FG01</v>
          </cell>
          <cell r="I81" t="str">
            <v>Básico</v>
          </cell>
          <cell r="J81">
            <v>97.36</v>
          </cell>
        </row>
        <row r="82">
          <cell r="A82" t="str">
            <v>TV COMISS DEFENS 03 40H</v>
          </cell>
          <cell r="B82" t="str">
            <v>TV COMISS DEFENS</v>
          </cell>
          <cell r="C82" t="str">
            <v>Tabela de Valores Comissionamentos Def.Publica</v>
          </cell>
          <cell r="D82" t="str">
            <v>40H</v>
          </cell>
          <cell r="E82">
            <v>40238</v>
          </cell>
          <cell r="G82" t="str">
            <v>03</v>
          </cell>
          <cell r="H82" t="str">
            <v>CC02</v>
          </cell>
          <cell r="I82" t="str">
            <v>Básico</v>
          </cell>
          <cell r="J82">
            <v>349.39</v>
          </cell>
        </row>
        <row r="83">
          <cell r="A83" t="str">
            <v>TV COMISS DEFENS 04 40H</v>
          </cell>
          <cell r="B83" t="str">
            <v>TV COMISS DEFENS</v>
          </cell>
          <cell r="C83" t="str">
            <v>Tabela de Valores Comissionamentos Def.Publica</v>
          </cell>
          <cell r="D83" t="str">
            <v>40H</v>
          </cell>
          <cell r="E83">
            <v>40238</v>
          </cell>
          <cell r="G83" t="str">
            <v>04</v>
          </cell>
          <cell r="H83" t="str">
            <v>FG02</v>
          </cell>
          <cell r="I83" t="str">
            <v>Básico</v>
          </cell>
          <cell r="J83">
            <v>117.02</v>
          </cell>
        </row>
        <row r="84">
          <cell r="A84" t="str">
            <v>TV COMISS DEFENS 05 40H</v>
          </cell>
          <cell r="B84" t="str">
            <v>TV COMISS DEFENS</v>
          </cell>
          <cell r="C84" t="str">
            <v>Tabela de Valores Comissionamentos Def.Publica</v>
          </cell>
          <cell r="D84" t="str">
            <v>40H</v>
          </cell>
          <cell r="E84">
            <v>40238</v>
          </cell>
          <cell r="G84" t="str">
            <v>05</v>
          </cell>
          <cell r="H84" t="str">
            <v>CC03</v>
          </cell>
          <cell r="I84" t="str">
            <v>Básico</v>
          </cell>
          <cell r="J84">
            <v>432.24</v>
          </cell>
        </row>
        <row r="85">
          <cell r="A85" t="str">
            <v>TV COMISS DEFENS 06 40H</v>
          </cell>
          <cell r="B85" t="str">
            <v>TV COMISS DEFENS</v>
          </cell>
          <cell r="C85" t="str">
            <v>Tabela de Valores Comissionamentos Def.Publica</v>
          </cell>
          <cell r="D85" t="str">
            <v>40H</v>
          </cell>
          <cell r="E85">
            <v>40238</v>
          </cell>
          <cell r="G85" t="str">
            <v>06</v>
          </cell>
          <cell r="H85" t="str">
            <v>FG03</v>
          </cell>
          <cell r="I85" t="str">
            <v>Básico</v>
          </cell>
          <cell r="J85">
            <v>150.11</v>
          </cell>
        </row>
        <row r="86">
          <cell r="A86" t="str">
            <v>TV COMISS DEFENS 07 40H</v>
          </cell>
          <cell r="B86" t="str">
            <v>TV COMISS DEFENS</v>
          </cell>
          <cell r="C86" t="str">
            <v>Tabela de Valores Comissionamentos Def.Publica</v>
          </cell>
          <cell r="D86" t="str">
            <v>40H</v>
          </cell>
          <cell r="E86">
            <v>40238</v>
          </cell>
          <cell r="G86" t="str">
            <v>07</v>
          </cell>
          <cell r="H86" t="str">
            <v>CC04</v>
          </cell>
          <cell r="I86" t="str">
            <v>Básico</v>
          </cell>
          <cell r="J86">
            <v>514.85</v>
          </cell>
        </row>
        <row r="87">
          <cell r="A87" t="str">
            <v>TV COMISS DEFENS 08 40H</v>
          </cell>
          <cell r="B87" t="str">
            <v>TV COMISS DEFENS</v>
          </cell>
          <cell r="C87" t="str">
            <v>Tabela de Valores Comissionamentos Def.Publica</v>
          </cell>
          <cell r="D87" t="str">
            <v>40H</v>
          </cell>
          <cell r="E87">
            <v>40238</v>
          </cell>
          <cell r="G87" t="str">
            <v>08</v>
          </cell>
          <cell r="H87" t="str">
            <v>FG04</v>
          </cell>
          <cell r="I87" t="str">
            <v>Básico</v>
          </cell>
          <cell r="J87">
            <v>183.09</v>
          </cell>
        </row>
        <row r="88">
          <cell r="A88" t="str">
            <v>TV COMISS DEFENS 09 40H</v>
          </cell>
          <cell r="B88" t="str">
            <v>TV COMISS DEFENS</v>
          </cell>
          <cell r="C88" t="str">
            <v>Tabela de Valores Comissionamentos Def.Publica</v>
          </cell>
          <cell r="D88" t="str">
            <v>40H</v>
          </cell>
          <cell r="E88">
            <v>40238</v>
          </cell>
          <cell r="G88" t="str">
            <v>09</v>
          </cell>
          <cell r="H88" t="str">
            <v>CC05</v>
          </cell>
          <cell r="I88" t="str">
            <v>Básico</v>
          </cell>
          <cell r="J88">
            <v>599.74</v>
          </cell>
        </row>
        <row r="89">
          <cell r="A89" t="str">
            <v>TV COMISS DEFENS 10 40H</v>
          </cell>
          <cell r="B89" t="str">
            <v>TV COMISS DEFENS</v>
          </cell>
          <cell r="C89" t="str">
            <v>Tabela de Valores Comissionamentos Def.Publica</v>
          </cell>
          <cell r="D89" t="str">
            <v>40H</v>
          </cell>
          <cell r="E89">
            <v>40238</v>
          </cell>
          <cell r="G89" t="str">
            <v>10</v>
          </cell>
          <cell r="H89" t="str">
            <v>FG05</v>
          </cell>
          <cell r="I89" t="str">
            <v>Básico</v>
          </cell>
          <cell r="J89">
            <v>217.02</v>
          </cell>
        </row>
        <row r="90">
          <cell r="A90" t="str">
            <v>TV COMISS DEFENS 11 40H</v>
          </cell>
          <cell r="B90" t="str">
            <v>TV COMISS DEFENS</v>
          </cell>
          <cell r="C90" t="str">
            <v>Tabela de Valores Comissionamentos Def.Publica</v>
          </cell>
          <cell r="D90" t="str">
            <v>40H</v>
          </cell>
          <cell r="E90">
            <v>40238</v>
          </cell>
          <cell r="G90" t="str">
            <v>11</v>
          </cell>
          <cell r="H90" t="str">
            <v>CC06</v>
          </cell>
          <cell r="I90" t="str">
            <v>Básico</v>
          </cell>
          <cell r="J90">
            <v>682.47</v>
          </cell>
        </row>
        <row r="91">
          <cell r="A91" t="str">
            <v>TV COMISS DEFENS 12 40H</v>
          </cell>
          <cell r="B91" t="str">
            <v>TV COMISS DEFENS</v>
          </cell>
          <cell r="C91" t="str">
            <v>Tabela de Valores Comissionamentos Def.Publica</v>
          </cell>
          <cell r="D91" t="str">
            <v>40H</v>
          </cell>
          <cell r="E91">
            <v>40238</v>
          </cell>
          <cell r="G91" t="str">
            <v>12</v>
          </cell>
          <cell r="H91" t="str">
            <v>FG06</v>
          </cell>
          <cell r="I91" t="str">
            <v>Básico</v>
          </cell>
          <cell r="J91">
            <v>250.11</v>
          </cell>
        </row>
        <row r="92">
          <cell r="A92" t="str">
            <v>TV COMISS DEFENS 13 40H</v>
          </cell>
          <cell r="B92" t="str">
            <v>TV COMISS DEFENS</v>
          </cell>
          <cell r="C92" t="str">
            <v>Tabela de Valores Comissionamentos Def.Publica</v>
          </cell>
          <cell r="D92" t="str">
            <v>40H</v>
          </cell>
          <cell r="E92">
            <v>40238</v>
          </cell>
          <cell r="G92" t="str">
            <v>13</v>
          </cell>
          <cell r="H92" t="str">
            <v>CC07</v>
          </cell>
          <cell r="I92" t="str">
            <v>Básico</v>
          </cell>
          <cell r="J92">
            <v>764.84</v>
          </cell>
        </row>
        <row r="93">
          <cell r="A93" t="str">
            <v>TV COMISS DEFENS 14 40H</v>
          </cell>
          <cell r="B93" t="str">
            <v>TV COMISS DEFENS</v>
          </cell>
          <cell r="C93" t="str">
            <v>Tabela de Valores Comissionamentos Def.Publica</v>
          </cell>
          <cell r="D93" t="str">
            <v>40H</v>
          </cell>
          <cell r="E93">
            <v>40238</v>
          </cell>
          <cell r="G93" t="str">
            <v>14</v>
          </cell>
          <cell r="H93" t="str">
            <v>FG07</v>
          </cell>
          <cell r="I93" t="str">
            <v>Básico</v>
          </cell>
          <cell r="J93">
            <v>283.2</v>
          </cell>
        </row>
        <row r="94">
          <cell r="A94" t="str">
            <v>TV COMISS DEFENS 15 40H</v>
          </cell>
          <cell r="B94" t="str">
            <v>TV COMISS DEFENS</v>
          </cell>
          <cell r="C94" t="str">
            <v>Tabela de Valores Comissionamentos Def.Publica</v>
          </cell>
          <cell r="D94" t="str">
            <v>40H</v>
          </cell>
          <cell r="E94">
            <v>40238</v>
          </cell>
          <cell r="G94" t="str">
            <v>15</v>
          </cell>
          <cell r="H94" t="str">
            <v>CC08</v>
          </cell>
          <cell r="I94" t="str">
            <v>Básico</v>
          </cell>
          <cell r="J94">
            <v>1166.87</v>
          </cell>
        </row>
        <row r="95">
          <cell r="A95" t="str">
            <v>TV COMISS DEFENS 16 40H</v>
          </cell>
          <cell r="B95" t="str">
            <v>TV COMISS DEFENS</v>
          </cell>
          <cell r="C95" t="str">
            <v>Tabela de Valores Comissionamentos Def.Publica</v>
          </cell>
          <cell r="D95" t="str">
            <v>40H</v>
          </cell>
          <cell r="E95">
            <v>40238</v>
          </cell>
          <cell r="G95" t="str">
            <v>16</v>
          </cell>
          <cell r="H95" t="str">
            <v>FG08</v>
          </cell>
          <cell r="I95" t="str">
            <v>Básico</v>
          </cell>
          <cell r="J95">
            <v>443.87</v>
          </cell>
        </row>
        <row r="96">
          <cell r="A96" t="str">
            <v>TV COMISS DEFENS 17 40H</v>
          </cell>
          <cell r="B96" t="str">
            <v>TV COMISS DEFENS</v>
          </cell>
          <cell r="C96" t="str">
            <v>Tabela de Valores Comissionamentos Def.Publica</v>
          </cell>
          <cell r="D96" t="str">
            <v>40H</v>
          </cell>
          <cell r="E96">
            <v>40238</v>
          </cell>
          <cell r="G96" t="str">
            <v>17</v>
          </cell>
          <cell r="H96" t="str">
            <v>CC09</v>
          </cell>
          <cell r="I96" t="str">
            <v>Básico</v>
          </cell>
          <cell r="J96">
            <v>1526.45</v>
          </cell>
        </row>
        <row r="97">
          <cell r="A97" t="str">
            <v>TV COMISS DEFENS 18 40H</v>
          </cell>
          <cell r="B97" t="str">
            <v>TV COMISS DEFENS</v>
          </cell>
          <cell r="C97" t="str">
            <v>Tabela de Valores Comissionamentos Def.Publica</v>
          </cell>
          <cell r="D97" t="str">
            <v>40H</v>
          </cell>
          <cell r="E97">
            <v>40238</v>
          </cell>
          <cell r="G97" t="str">
            <v>18</v>
          </cell>
          <cell r="H97" t="str">
            <v>FG09</v>
          </cell>
          <cell r="I97" t="str">
            <v>Básico</v>
          </cell>
          <cell r="J97">
            <v>610.89</v>
          </cell>
        </row>
        <row r="98">
          <cell r="A98" t="str">
            <v>TV COMISS DEFENS 19 40H</v>
          </cell>
          <cell r="B98" t="str">
            <v>TV COMISS DEFENS</v>
          </cell>
          <cell r="C98" t="str">
            <v>Tabela de Valores Comissionamentos Def.Publica</v>
          </cell>
          <cell r="D98" t="str">
            <v>40H</v>
          </cell>
          <cell r="E98">
            <v>40238</v>
          </cell>
          <cell r="G98" t="str">
            <v>19</v>
          </cell>
          <cell r="H98" t="str">
            <v>CC10</v>
          </cell>
          <cell r="I98" t="str">
            <v>Básico</v>
          </cell>
          <cell r="J98">
            <v>1746.34</v>
          </cell>
        </row>
        <row r="99">
          <cell r="A99" t="str">
            <v>TV COMISS DEFENS 20 40H</v>
          </cell>
          <cell r="B99" t="str">
            <v>TV COMISS DEFENS</v>
          </cell>
          <cell r="C99" t="str">
            <v>Tabela de Valores Comissionamentos Def.Publica</v>
          </cell>
          <cell r="D99" t="str">
            <v>40H</v>
          </cell>
          <cell r="E99">
            <v>40238</v>
          </cell>
          <cell r="G99" t="str">
            <v>20</v>
          </cell>
          <cell r="H99" t="str">
            <v>FG10</v>
          </cell>
          <cell r="I99" t="str">
            <v>Básico</v>
          </cell>
          <cell r="J99">
            <v>698.78</v>
          </cell>
        </row>
        <row r="100">
          <cell r="A100" t="str">
            <v>TV COMISS DEFENS 21 40H</v>
          </cell>
          <cell r="B100" t="str">
            <v>TV COMISS DEFENS</v>
          </cell>
          <cell r="C100" t="str">
            <v>Tabela de Valores Comissionamentos Def.Publica</v>
          </cell>
          <cell r="D100" t="str">
            <v>40H</v>
          </cell>
          <cell r="E100">
            <v>40238</v>
          </cell>
          <cell r="G100" t="str">
            <v>21</v>
          </cell>
          <cell r="H100" t="str">
            <v>CC11</v>
          </cell>
          <cell r="I100" t="str">
            <v>Básico</v>
          </cell>
          <cell r="J100">
            <v>1944.54</v>
          </cell>
        </row>
        <row r="101">
          <cell r="A101" t="str">
            <v>TV COMISS DEFENS 22 40H</v>
          </cell>
          <cell r="B101" t="str">
            <v>TV COMISS DEFENS</v>
          </cell>
          <cell r="C101" t="str">
            <v>Tabela de Valores Comissionamentos Def.Publica</v>
          </cell>
          <cell r="D101" t="str">
            <v>40H</v>
          </cell>
          <cell r="E101">
            <v>40238</v>
          </cell>
          <cell r="G101" t="str">
            <v>22</v>
          </cell>
          <cell r="H101" t="str">
            <v>FG11</v>
          </cell>
          <cell r="I101" t="str">
            <v>Básico</v>
          </cell>
          <cell r="J101">
            <v>777.67</v>
          </cell>
        </row>
        <row r="102">
          <cell r="A102" t="str">
            <v>TV COMISS DEFENS 23 40H</v>
          </cell>
          <cell r="B102" t="str">
            <v>TV COMISS DEFENS</v>
          </cell>
          <cell r="C102" t="str">
            <v>Tabela de Valores Comissionamentos Def.Publica</v>
          </cell>
          <cell r="D102" t="str">
            <v>40H</v>
          </cell>
          <cell r="E102">
            <v>40238</v>
          </cell>
          <cell r="G102" t="str">
            <v>23</v>
          </cell>
          <cell r="H102" t="str">
            <v>CC12</v>
          </cell>
          <cell r="I102" t="str">
            <v>Básico</v>
          </cell>
          <cell r="J102">
            <v>2480.37</v>
          </cell>
        </row>
        <row r="103">
          <cell r="A103" t="str">
            <v>TV COMISS DEFENS 24 40H</v>
          </cell>
          <cell r="B103" t="str">
            <v>TV COMISS DEFENS</v>
          </cell>
          <cell r="C103" t="str">
            <v>Tabela de Valores Comissionamentos Def.Publica</v>
          </cell>
          <cell r="D103" t="str">
            <v>40H</v>
          </cell>
          <cell r="E103">
            <v>40238</v>
          </cell>
          <cell r="G103" t="str">
            <v>24</v>
          </cell>
          <cell r="H103" t="str">
            <v>FG12</v>
          </cell>
          <cell r="I103" t="str">
            <v>Básico</v>
          </cell>
          <cell r="J103">
            <v>992.53</v>
          </cell>
        </row>
        <row r="104">
          <cell r="A104" t="str">
            <v>TV COMISS ESP SARH 01 30H</v>
          </cell>
          <cell r="B104" t="str">
            <v>TV COMISS ESP SARH</v>
          </cell>
          <cell r="C104" t="str">
            <v>Tabela de Valores Comissionamentos Especial SARH</v>
          </cell>
          <cell r="D104" t="str">
            <v>30H</v>
          </cell>
          <cell r="E104">
            <v>41365</v>
          </cell>
          <cell r="G104" t="str">
            <v>01</v>
          </cell>
          <cell r="H104" t="str">
            <v>Dir. Administr.</v>
          </cell>
          <cell r="I104" t="str">
            <v>Básico</v>
          </cell>
          <cell r="J104">
            <v>3996.32</v>
          </cell>
        </row>
        <row r="105">
          <cell r="A105" t="str">
            <v>TV COMISS ESP SARH 02 30H</v>
          </cell>
          <cell r="B105" t="str">
            <v>TV COMISS ESP SARH</v>
          </cell>
          <cell r="C105" t="str">
            <v>Tabela de Valores Comissionamentos Especial SARH</v>
          </cell>
          <cell r="D105" t="str">
            <v>30H</v>
          </cell>
          <cell r="E105">
            <v>41365</v>
          </cell>
          <cell r="G105" t="str">
            <v>02</v>
          </cell>
          <cell r="H105" t="str">
            <v>Assessor NS</v>
          </cell>
          <cell r="I105" t="str">
            <v>Básico</v>
          </cell>
          <cell r="J105">
            <v>2141.7</v>
          </cell>
        </row>
        <row r="106">
          <cell r="A106" t="str">
            <v>TV COMISS ESP SARH 03 30H</v>
          </cell>
          <cell r="B106" t="str">
            <v>TV COMISS ESP SARH</v>
          </cell>
          <cell r="C106" t="str">
            <v>Tabela de Valores Comissionamentos Especial SARH</v>
          </cell>
          <cell r="D106" t="str">
            <v>30H</v>
          </cell>
          <cell r="E106">
            <v>41365</v>
          </cell>
          <cell r="G106" t="str">
            <v>03</v>
          </cell>
          <cell r="H106" t="str">
            <v>Assistente NM</v>
          </cell>
          <cell r="I106" t="str">
            <v>Básico</v>
          </cell>
          <cell r="J106">
            <v>1058.71</v>
          </cell>
        </row>
        <row r="107">
          <cell r="A107" t="str">
            <v>TV COMISS ESP SARH 04 30H</v>
          </cell>
          <cell r="B107" t="str">
            <v>TV COMISS ESP SARH</v>
          </cell>
          <cell r="C107" t="str">
            <v>Tabela de Valores Comissionamentos Especial SARH</v>
          </cell>
          <cell r="D107" t="str">
            <v>30H</v>
          </cell>
          <cell r="E107">
            <v>41365</v>
          </cell>
          <cell r="G107" t="str">
            <v>04</v>
          </cell>
          <cell r="H107" t="str">
            <v>Gerente</v>
          </cell>
          <cell r="I107" t="str">
            <v>Básico</v>
          </cell>
          <cell r="J107">
            <v>2037.12</v>
          </cell>
        </row>
        <row r="108">
          <cell r="A108" t="str">
            <v>TV COMISS ESP SARH 05 30H</v>
          </cell>
          <cell r="B108" t="str">
            <v>TV COMISS ESP SARH</v>
          </cell>
          <cell r="C108" t="str">
            <v>Tabela de Valores Comissionamentos Especial SARH</v>
          </cell>
          <cell r="D108" t="str">
            <v>30H</v>
          </cell>
          <cell r="E108">
            <v>41365</v>
          </cell>
          <cell r="G108" t="str">
            <v>05</v>
          </cell>
          <cell r="H108" t="str">
            <v>Sub-Chefe Marc</v>
          </cell>
          <cell r="I108" t="str">
            <v>Básico</v>
          </cell>
          <cell r="J108">
            <v>1112.49</v>
          </cell>
        </row>
        <row r="109">
          <cell r="A109" t="str">
            <v>TV COMISS ESP SARH 06 30H</v>
          </cell>
          <cell r="B109" t="str">
            <v>TV COMISS ESP SARH</v>
          </cell>
          <cell r="C109" t="str">
            <v>Tabela de Valores Comissionamentos Especial SARH</v>
          </cell>
          <cell r="D109" t="str">
            <v>30H</v>
          </cell>
          <cell r="E109">
            <v>41365</v>
          </cell>
          <cell r="G109" t="str">
            <v>06</v>
          </cell>
          <cell r="H109" t="str">
            <v>Ass Oper/Process</v>
          </cell>
          <cell r="I109" t="str">
            <v>Básico</v>
          </cell>
          <cell r="J109">
            <v>877.74</v>
          </cell>
        </row>
        <row r="110">
          <cell r="A110" t="str">
            <v>TV COMISS ESP SARH 07 30H</v>
          </cell>
          <cell r="B110" t="str">
            <v>TV COMISS ESP SARH</v>
          </cell>
          <cell r="C110" t="str">
            <v>Tabela de Valores Comissionamentos Especial SARH</v>
          </cell>
          <cell r="D110" t="str">
            <v>30H</v>
          </cell>
          <cell r="E110">
            <v>41365</v>
          </cell>
          <cell r="G110" t="str">
            <v>07</v>
          </cell>
          <cell r="H110" t="str">
            <v>Ass Oper Aux/Motor</v>
          </cell>
          <cell r="I110" t="str">
            <v>Básico</v>
          </cell>
          <cell r="J110">
            <v>629.05</v>
          </cell>
        </row>
        <row r="111">
          <cell r="A111" t="str">
            <v>TV COMISS ESP SARH 08 30H</v>
          </cell>
          <cell r="B111" t="str">
            <v>TV COMISS ESP SARH</v>
          </cell>
          <cell r="C111" t="str">
            <v>Tabela de Valores Comissionamentos Especial SARH</v>
          </cell>
          <cell r="D111" t="str">
            <v>30H</v>
          </cell>
          <cell r="E111">
            <v>41365</v>
          </cell>
          <cell r="G111" t="str">
            <v>08</v>
          </cell>
          <cell r="H111" t="str">
            <v>FG-CEE 21.0</v>
          </cell>
          <cell r="I111" t="str">
            <v>Básico</v>
          </cell>
          <cell r="J111">
            <v>34.5</v>
          </cell>
        </row>
        <row r="112">
          <cell r="A112" t="str">
            <v>TV COMISS ESP SARH 09 30H</v>
          </cell>
          <cell r="B112" t="str">
            <v>TV COMISS ESP SARH</v>
          </cell>
          <cell r="C112" t="str">
            <v>Tabela de Valores Comissionamentos Especial SARH</v>
          </cell>
          <cell r="D112" t="str">
            <v>30H</v>
          </cell>
          <cell r="E112">
            <v>41365</v>
          </cell>
          <cell r="G112" t="str">
            <v>09</v>
          </cell>
          <cell r="H112" t="str">
            <v>FG-CEE 20.0</v>
          </cell>
          <cell r="I112" t="str">
            <v>Básico</v>
          </cell>
          <cell r="J112">
            <v>36.4</v>
          </cell>
        </row>
        <row r="113">
          <cell r="A113" t="str">
            <v>TV COMISS ESP SARH 10 30H</v>
          </cell>
          <cell r="B113" t="str">
            <v>TV COMISS ESP SARH</v>
          </cell>
          <cell r="C113" t="str">
            <v>Tabela de Valores Comissionamentos Especial SARH</v>
          </cell>
          <cell r="D113" t="str">
            <v>30H</v>
          </cell>
          <cell r="E113">
            <v>41365</v>
          </cell>
          <cell r="G113" t="str">
            <v>10</v>
          </cell>
          <cell r="H113" t="str">
            <v>FG-CEE 19.0</v>
          </cell>
          <cell r="I113" t="str">
            <v>Básico</v>
          </cell>
          <cell r="J113">
            <v>43.2</v>
          </cell>
        </row>
        <row r="114">
          <cell r="A114" t="str">
            <v>TV COMISS ESP SARH 11 30H</v>
          </cell>
          <cell r="B114" t="str">
            <v>TV COMISS ESP SARH</v>
          </cell>
          <cell r="C114" t="str">
            <v>Tabela de Valores Comissionamentos Especial SARH</v>
          </cell>
          <cell r="D114" t="str">
            <v>30H</v>
          </cell>
          <cell r="E114">
            <v>41365</v>
          </cell>
          <cell r="G114" t="str">
            <v>11</v>
          </cell>
          <cell r="H114" t="str">
            <v>FG-CEE 18.0</v>
          </cell>
          <cell r="I114" t="str">
            <v>Básico</v>
          </cell>
          <cell r="J114">
            <v>48.5</v>
          </cell>
        </row>
        <row r="115">
          <cell r="A115" t="str">
            <v>TV COMISS ESP SARH 12 30H</v>
          </cell>
          <cell r="B115" t="str">
            <v>TV COMISS ESP SARH</v>
          </cell>
          <cell r="C115" t="str">
            <v>Tabela de Valores Comissionamentos Especial SARH</v>
          </cell>
          <cell r="D115" t="str">
            <v>30H</v>
          </cell>
          <cell r="E115">
            <v>41365</v>
          </cell>
          <cell r="G115" t="str">
            <v>12</v>
          </cell>
          <cell r="H115" t="str">
            <v>FG-CEE 17.0</v>
          </cell>
          <cell r="I115" t="str">
            <v>Básico</v>
          </cell>
          <cell r="J115">
            <v>54.3</v>
          </cell>
        </row>
        <row r="116">
          <cell r="A116" t="str">
            <v>TV COMISS ESP SARH 13 30H</v>
          </cell>
          <cell r="B116" t="str">
            <v>TV COMISS ESP SARH</v>
          </cell>
          <cell r="C116" t="str">
            <v>Tabela de Valores Comissionamentos Especial SARH</v>
          </cell>
          <cell r="D116" t="str">
            <v>30H</v>
          </cell>
          <cell r="E116">
            <v>41365</v>
          </cell>
          <cell r="G116" t="str">
            <v>13</v>
          </cell>
          <cell r="H116" t="str">
            <v>FG-CEE 16.0</v>
          </cell>
          <cell r="I116" t="str">
            <v>Básico</v>
          </cell>
          <cell r="J116">
            <v>60.9</v>
          </cell>
        </row>
        <row r="117">
          <cell r="A117" t="str">
            <v>TV COMISS ESP SARH 14 30H</v>
          </cell>
          <cell r="B117" t="str">
            <v>TV COMISS ESP SARH</v>
          </cell>
          <cell r="C117" t="str">
            <v>Tabela de Valores Comissionamentos Especial SARH</v>
          </cell>
          <cell r="D117" t="str">
            <v>30H</v>
          </cell>
          <cell r="E117">
            <v>41365</v>
          </cell>
          <cell r="G117" t="str">
            <v>14</v>
          </cell>
          <cell r="H117" t="str">
            <v>FG-CEE 15.0</v>
          </cell>
          <cell r="I117" t="str">
            <v>Básico</v>
          </cell>
          <cell r="J117">
            <v>68.3</v>
          </cell>
        </row>
        <row r="118">
          <cell r="A118" t="str">
            <v>TV COMISS ESP SARH 15 30H</v>
          </cell>
          <cell r="B118" t="str">
            <v>TV COMISS ESP SARH</v>
          </cell>
          <cell r="C118" t="str">
            <v>Tabela de Valores Comissionamentos Especial SARH</v>
          </cell>
          <cell r="D118" t="str">
            <v>30H</v>
          </cell>
          <cell r="E118">
            <v>41365</v>
          </cell>
          <cell r="G118" t="str">
            <v>15</v>
          </cell>
          <cell r="H118" t="str">
            <v>FG-CEE 14.0</v>
          </cell>
          <cell r="I118" t="str">
            <v>Básico</v>
          </cell>
          <cell r="J118">
            <v>76.7</v>
          </cell>
        </row>
        <row r="119">
          <cell r="A119" t="str">
            <v>TV COMISS ESP SARH 16 30H</v>
          </cell>
          <cell r="B119" t="str">
            <v>TV COMISS ESP SARH</v>
          </cell>
          <cell r="C119" t="str">
            <v>Tabela de Valores Comissionamentos Especial SARH</v>
          </cell>
          <cell r="D119" t="str">
            <v>30H</v>
          </cell>
          <cell r="E119">
            <v>41365</v>
          </cell>
          <cell r="G119" t="str">
            <v>16</v>
          </cell>
          <cell r="H119" t="str">
            <v>FG-CEE 13.0</v>
          </cell>
          <cell r="I119" t="str">
            <v>Básico</v>
          </cell>
          <cell r="J119">
            <v>86</v>
          </cell>
        </row>
        <row r="120">
          <cell r="A120" t="str">
            <v>TV COMISS ESP SARH 17 30H</v>
          </cell>
          <cell r="B120" t="str">
            <v>TV COMISS ESP SARH</v>
          </cell>
          <cell r="C120" t="str">
            <v>Tabela de Valores Comissionamentos Especial SARH</v>
          </cell>
          <cell r="D120" t="str">
            <v>30H</v>
          </cell>
          <cell r="E120">
            <v>41365</v>
          </cell>
          <cell r="G120" t="str">
            <v>17</v>
          </cell>
          <cell r="H120" t="str">
            <v>FG-CEE 12.0</v>
          </cell>
          <cell r="I120" t="str">
            <v>Básico</v>
          </cell>
          <cell r="J120">
            <v>120.7</v>
          </cell>
        </row>
        <row r="121">
          <cell r="A121" t="str">
            <v>TV COMISS ESP SARH 18 30H</v>
          </cell>
          <cell r="B121" t="str">
            <v>TV COMISS ESP SARH</v>
          </cell>
          <cell r="C121" t="str">
            <v>Tabela de Valores Comissionamentos Especial SARH</v>
          </cell>
          <cell r="D121" t="str">
            <v>30H</v>
          </cell>
          <cell r="E121">
            <v>41365</v>
          </cell>
          <cell r="G121" t="str">
            <v>18</v>
          </cell>
          <cell r="H121" t="str">
            <v>FG-CEE 11.0</v>
          </cell>
          <cell r="I121" t="str">
            <v>Básico</v>
          </cell>
          <cell r="J121">
            <v>135.1</v>
          </cell>
        </row>
        <row r="122">
          <cell r="A122" t="str">
            <v>TV COMISS ESP SARH 19 30H</v>
          </cell>
          <cell r="B122" t="str">
            <v>TV COMISS ESP SARH</v>
          </cell>
          <cell r="C122" t="str">
            <v>Tabela de Valores Comissionamentos Especial SARH</v>
          </cell>
          <cell r="D122" t="str">
            <v>30H</v>
          </cell>
          <cell r="E122">
            <v>41365</v>
          </cell>
          <cell r="G122" t="str">
            <v>19</v>
          </cell>
          <cell r="H122" t="str">
            <v>FG-CEE 10.0</v>
          </cell>
          <cell r="I122" t="str">
            <v>Básico</v>
          </cell>
          <cell r="J122">
            <v>151.6</v>
          </cell>
        </row>
        <row r="123">
          <cell r="A123" t="str">
            <v>TV COMISS ESP SARH 20 30H</v>
          </cell>
          <cell r="B123" t="str">
            <v>TV COMISS ESP SARH</v>
          </cell>
          <cell r="C123" t="str">
            <v>Tabela de Valores Comissionamentos Especial SARH</v>
          </cell>
          <cell r="D123" t="str">
            <v>30H</v>
          </cell>
          <cell r="E123">
            <v>41365</v>
          </cell>
          <cell r="G123" t="str">
            <v>20</v>
          </cell>
          <cell r="H123" t="str">
            <v>FG-CEE 09.0</v>
          </cell>
          <cell r="I123" t="str">
            <v>Básico</v>
          </cell>
          <cell r="J123">
            <v>170.2</v>
          </cell>
        </row>
        <row r="124">
          <cell r="A124" t="str">
            <v>TV COMISS ESP SARH 21 30H</v>
          </cell>
          <cell r="B124" t="str">
            <v>TV COMISS ESP SARH</v>
          </cell>
          <cell r="C124" t="str">
            <v>Tabela de Valores Comissionamentos Especial SARH</v>
          </cell>
          <cell r="D124" t="str">
            <v>30H</v>
          </cell>
          <cell r="E124">
            <v>41365</v>
          </cell>
          <cell r="G124" t="str">
            <v>21</v>
          </cell>
          <cell r="H124" t="str">
            <v>FG-CEE 08.0</v>
          </cell>
          <cell r="I124" t="str">
            <v>Básico</v>
          </cell>
          <cell r="J124">
            <v>190.7</v>
          </cell>
        </row>
        <row r="125">
          <cell r="A125" t="str">
            <v>TV COMISS ESP SARH 22 30H</v>
          </cell>
          <cell r="B125" t="str">
            <v>TV COMISS ESP SARH</v>
          </cell>
          <cell r="C125" t="str">
            <v>Tabela de Valores Comissionamentos Especial SARH</v>
          </cell>
          <cell r="D125" t="str">
            <v>30H</v>
          </cell>
          <cell r="E125">
            <v>41365</v>
          </cell>
          <cell r="G125" t="str">
            <v>22</v>
          </cell>
          <cell r="H125" t="str">
            <v>FG-CEE 07.0</v>
          </cell>
          <cell r="I125" t="str">
            <v>Básico</v>
          </cell>
          <cell r="J125">
            <v>215.7</v>
          </cell>
        </row>
        <row r="126">
          <cell r="A126" t="str">
            <v>TV COMISS ESP SARH 23 30H</v>
          </cell>
          <cell r="B126" t="str">
            <v>TV COMISS ESP SARH</v>
          </cell>
          <cell r="C126" t="str">
            <v>Tabela de Valores Comissionamentos Especial SARH</v>
          </cell>
          <cell r="D126" t="str">
            <v>30H</v>
          </cell>
          <cell r="E126">
            <v>41365</v>
          </cell>
          <cell r="G126" t="str">
            <v>23</v>
          </cell>
          <cell r="H126" t="str">
            <v>FG-CEE 06.0</v>
          </cell>
          <cell r="I126" t="str">
            <v>Básico</v>
          </cell>
          <cell r="J126">
            <v>240.1</v>
          </cell>
        </row>
        <row r="127">
          <cell r="A127" t="str">
            <v>TV COMISS ESP SARH 24 30H</v>
          </cell>
          <cell r="B127" t="str">
            <v>TV COMISS ESP SARH</v>
          </cell>
          <cell r="C127" t="str">
            <v>Tabela de Valores Comissionamentos Especial SARH</v>
          </cell>
          <cell r="D127" t="str">
            <v>30H</v>
          </cell>
          <cell r="E127">
            <v>41365</v>
          </cell>
          <cell r="G127" t="str">
            <v>24</v>
          </cell>
          <cell r="H127" t="str">
            <v>FG-CEE 05.0</v>
          </cell>
          <cell r="I127" t="str">
            <v>Básico</v>
          </cell>
          <cell r="J127">
            <v>269.4</v>
          </cell>
        </row>
        <row r="128">
          <cell r="A128" t="str">
            <v>TV COMISS ESP SARH 25 30H</v>
          </cell>
          <cell r="B128" t="str">
            <v>TV COMISS ESP SARH</v>
          </cell>
          <cell r="C128" t="str">
            <v>Tabela de Valores Comissionamentos Especial SARH</v>
          </cell>
          <cell r="D128" t="str">
            <v>30H</v>
          </cell>
          <cell r="E128">
            <v>41365</v>
          </cell>
          <cell r="G128" t="str">
            <v>25</v>
          </cell>
          <cell r="H128" t="str">
            <v>FG-CEE 04.0</v>
          </cell>
          <cell r="I128" t="str">
            <v>Básico</v>
          </cell>
          <cell r="J128">
            <v>302.2</v>
          </cell>
        </row>
        <row r="129">
          <cell r="A129" t="str">
            <v>TV COMISS ESP SARH 26 30H</v>
          </cell>
          <cell r="B129" t="str">
            <v>TV COMISS ESP SARH</v>
          </cell>
          <cell r="C129" t="str">
            <v>Tabela de Valores Comissionamentos Especial SARH</v>
          </cell>
          <cell r="D129" t="str">
            <v>30H</v>
          </cell>
          <cell r="E129">
            <v>41365</v>
          </cell>
          <cell r="G129" t="str">
            <v>26</v>
          </cell>
          <cell r="H129" t="str">
            <v>FG-CEE 03.0</v>
          </cell>
          <cell r="I129" t="str">
            <v>Básico</v>
          </cell>
          <cell r="J129">
            <v>339</v>
          </cell>
        </row>
        <row r="130">
          <cell r="A130" t="str">
            <v>TV COMISS ESP SARH 27 30H</v>
          </cell>
          <cell r="B130" t="str">
            <v>TV COMISS ESP SARH</v>
          </cell>
          <cell r="C130" t="str">
            <v>Tabela de Valores Comissionamentos Especial SARH</v>
          </cell>
          <cell r="D130" t="str">
            <v>30H</v>
          </cell>
          <cell r="E130">
            <v>41365</v>
          </cell>
          <cell r="G130" t="str">
            <v>27</v>
          </cell>
          <cell r="H130" t="str">
            <v>FG-CEE 02.0</v>
          </cell>
          <cell r="I130" t="str">
            <v>Básico</v>
          </cell>
          <cell r="J130">
            <v>380.3</v>
          </cell>
        </row>
        <row r="131">
          <cell r="A131" t="str">
            <v>TV COMISS ESP SARH 28 30H</v>
          </cell>
          <cell r="B131" t="str">
            <v>TV COMISS ESP SARH</v>
          </cell>
          <cell r="C131" t="str">
            <v>Tabela de Valores Comissionamentos Especial SARH</v>
          </cell>
          <cell r="D131" t="str">
            <v>30H</v>
          </cell>
          <cell r="E131">
            <v>41365</v>
          </cell>
          <cell r="G131" t="str">
            <v>28</v>
          </cell>
          <cell r="H131" t="str">
            <v>FG-CEE 01.0</v>
          </cell>
          <cell r="I131" t="str">
            <v>Básico</v>
          </cell>
          <cell r="J131">
            <v>426.9</v>
          </cell>
        </row>
        <row r="132">
          <cell r="A132" t="str">
            <v>TV COMISS ESP SARH 29 30H</v>
          </cell>
          <cell r="B132" t="str">
            <v>TV COMISS ESP SARH</v>
          </cell>
          <cell r="C132" t="str">
            <v>Tabela de Valores Comissionamentos Especial SARH</v>
          </cell>
          <cell r="D132" t="str">
            <v>30H</v>
          </cell>
          <cell r="E132">
            <v>41365</v>
          </cell>
          <cell r="G132" t="str">
            <v>29</v>
          </cell>
          <cell r="H132" t="str">
            <v>CC-CEE</v>
          </cell>
          <cell r="I132" t="str">
            <v>Básico</v>
          </cell>
          <cell r="J132">
            <v>442.52</v>
          </cell>
        </row>
        <row r="133">
          <cell r="A133" t="str">
            <v>TV COMISS ESP SARH 30 30H</v>
          </cell>
          <cell r="B133" t="str">
            <v>TV COMISS ESP SARH</v>
          </cell>
          <cell r="C133" t="str">
            <v>Tabela de Valores Comissionamentos Especial SARH</v>
          </cell>
          <cell r="D133" t="str">
            <v>30H</v>
          </cell>
          <cell r="E133">
            <v>41365</v>
          </cell>
          <cell r="G133" t="str">
            <v>30</v>
          </cell>
          <cell r="H133" t="str">
            <v>CC-CEE</v>
          </cell>
          <cell r="I133" t="str">
            <v>Básico</v>
          </cell>
          <cell r="J133">
            <v>1705.79</v>
          </cell>
        </row>
        <row r="134">
          <cell r="A134" t="str">
            <v>TV COMISS ESP SARH 31 30H</v>
          </cell>
          <cell r="B134" t="str">
            <v>TV COMISS ESP SARH</v>
          </cell>
          <cell r="C134" t="str">
            <v>Tabela de Valores Comissionamentos Especial SARH</v>
          </cell>
          <cell r="D134" t="str">
            <v>30H</v>
          </cell>
          <cell r="E134">
            <v>41365</v>
          </cell>
          <cell r="G134" t="str">
            <v>31</v>
          </cell>
          <cell r="H134" t="str">
            <v>CC-CEE</v>
          </cell>
          <cell r="I134" t="str">
            <v>Básico</v>
          </cell>
          <cell r="J134">
            <v>1533.62</v>
          </cell>
        </row>
        <row r="135">
          <cell r="A135" t="str">
            <v>TV COMISS ESP SARH 32 30H</v>
          </cell>
          <cell r="B135" t="str">
            <v>TV COMISS ESP SARH</v>
          </cell>
          <cell r="C135" t="str">
            <v>Tabela de Valores Comissionamentos Especial SARH</v>
          </cell>
          <cell r="D135" t="str">
            <v>30H</v>
          </cell>
          <cell r="E135">
            <v>41365</v>
          </cell>
          <cell r="G135" t="str">
            <v>32</v>
          </cell>
          <cell r="H135" t="str">
            <v>CC-CEE</v>
          </cell>
          <cell r="I135" t="str">
            <v>Básico</v>
          </cell>
          <cell r="J135">
            <v>1046.25</v>
          </cell>
        </row>
        <row r="136">
          <cell r="A136" t="str">
            <v>TV COMISS ESP SARH 33 30H</v>
          </cell>
          <cell r="B136" t="str">
            <v>TV COMISS ESP SARH</v>
          </cell>
          <cell r="C136" t="str">
            <v>Tabela de Valores Comissionamentos Especial SARH</v>
          </cell>
          <cell r="D136" t="str">
            <v>30H</v>
          </cell>
          <cell r="E136">
            <v>41365</v>
          </cell>
          <cell r="G136" t="str">
            <v>33</v>
          </cell>
          <cell r="H136" t="str">
            <v>CC-CEE</v>
          </cell>
          <cell r="I136" t="str">
            <v>Básico</v>
          </cell>
          <cell r="J136">
            <v>430.98</v>
          </cell>
        </row>
        <row r="137">
          <cell r="A137" t="str">
            <v>TV COMISS ESP SARH 34 30H</v>
          </cell>
          <cell r="B137" t="str">
            <v>TV COMISS ESP SARH</v>
          </cell>
          <cell r="C137" t="str">
            <v>Tabela de Valores Comissionamentos Especial SARH</v>
          </cell>
          <cell r="D137" t="str">
            <v>30H</v>
          </cell>
          <cell r="E137">
            <v>41365</v>
          </cell>
          <cell r="G137" t="str">
            <v>34</v>
          </cell>
          <cell r="H137" t="str">
            <v>CC-CEE</v>
          </cell>
          <cell r="I137" t="str">
            <v>Básico</v>
          </cell>
          <cell r="J137">
            <v>627.97</v>
          </cell>
        </row>
        <row r="138">
          <cell r="A138" t="str">
            <v>TV COMISS ESP SARH 35 30H</v>
          </cell>
          <cell r="B138" t="str">
            <v>TV COMISS ESP SARH</v>
          </cell>
          <cell r="C138" t="str">
            <v>Tabela de Valores Comissionamentos Especial SARH</v>
          </cell>
          <cell r="D138" t="str">
            <v>30H</v>
          </cell>
          <cell r="E138">
            <v>41365</v>
          </cell>
          <cell r="G138" t="str">
            <v>35</v>
          </cell>
          <cell r="H138" t="str">
            <v>CC-CEE</v>
          </cell>
          <cell r="I138" t="str">
            <v>Básico</v>
          </cell>
          <cell r="J138">
            <v>783.23</v>
          </cell>
        </row>
        <row r="139">
          <cell r="A139" t="str">
            <v>TV COMISS ESP SARH 36 30H</v>
          </cell>
          <cell r="B139" t="str">
            <v>TV COMISS ESP SARH</v>
          </cell>
          <cell r="C139" t="str">
            <v>Tabela de Valores Comissionamentos Especial SARH</v>
          </cell>
          <cell r="D139" t="str">
            <v>30H</v>
          </cell>
          <cell r="E139">
            <v>41365</v>
          </cell>
          <cell r="G139" t="str">
            <v>36</v>
          </cell>
          <cell r="H139" t="str">
            <v>CC-CEE</v>
          </cell>
          <cell r="I139" t="str">
            <v>Básico</v>
          </cell>
          <cell r="J139">
            <v>802.8</v>
          </cell>
        </row>
        <row r="140">
          <cell r="A140" t="str">
            <v>TV COMISS EXTRAORD 01 40H</v>
          </cell>
          <cell r="B140" t="str">
            <v>TV COMISS EXTRAORD</v>
          </cell>
          <cell r="C140" t="str">
            <v>Tabela de Valores Comissionamentos Extraordinarios</v>
          </cell>
          <cell r="D140" t="str">
            <v>40H</v>
          </cell>
          <cell r="E140">
            <v>41091</v>
          </cell>
          <cell r="G140" t="str">
            <v>01</v>
          </cell>
          <cell r="H140" t="str">
            <v>CCEX01</v>
          </cell>
          <cell r="I140" t="str">
            <v>Básico</v>
          </cell>
          <cell r="J140">
            <v>804.4</v>
          </cell>
        </row>
        <row r="141">
          <cell r="A141" t="str">
            <v>TV COMISS EXTRAORD 02 40H</v>
          </cell>
          <cell r="B141" t="str">
            <v>TV COMISS EXTRAORD</v>
          </cell>
          <cell r="C141" t="str">
            <v>Tabela de Valores Comissionamentos Extraordinarios</v>
          </cell>
          <cell r="D141" t="str">
            <v>40H</v>
          </cell>
          <cell r="E141">
            <v>41091</v>
          </cell>
          <cell r="G141" t="str">
            <v>02</v>
          </cell>
          <cell r="H141" t="str">
            <v>CCEX02</v>
          </cell>
          <cell r="I141" t="str">
            <v>Básico</v>
          </cell>
          <cell r="J141">
            <v>965.23</v>
          </cell>
        </row>
        <row r="142">
          <cell r="A142" t="str">
            <v>TV COMISS EXTRAORD 03 40H</v>
          </cell>
          <cell r="B142" t="str">
            <v>TV COMISS EXTRAORD</v>
          </cell>
          <cell r="C142" t="str">
            <v>Tabela de Valores Comissionamentos Extraordinarios</v>
          </cell>
          <cell r="D142" t="str">
            <v>40H</v>
          </cell>
          <cell r="E142">
            <v>41091</v>
          </cell>
          <cell r="G142" t="str">
            <v>03</v>
          </cell>
          <cell r="H142" t="str">
            <v>CCEX03</v>
          </cell>
          <cell r="I142" t="str">
            <v>Básico</v>
          </cell>
          <cell r="J142">
            <v>1125.94</v>
          </cell>
        </row>
        <row r="143">
          <cell r="A143" t="str">
            <v>TV COMISS EXTRAORD 04 40H</v>
          </cell>
          <cell r="B143" t="str">
            <v>TV COMISS EXTRAORD</v>
          </cell>
          <cell r="C143" t="str">
            <v>Tabela de Valores Comissionamentos Extraordinarios</v>
          </cell>
          <cell r="D143" t="str">
            <v>40H</v>
          </cell>
          <cell r="E143">
            <v>41091</v>
          </cell>
          <cell r="G143" t="str">
            <v>04</v>
          </cell>
          <cell r="H143" t="str">
            <v>CCEX04</v>
          </cell>
          <cell r="I143" t="str">
            <v>Básico</v>
          </cell>
          <cell r="J143">
            <v>1287.03</v>
          </cell>
        </row>
        <row r="144">
          <cell r="A144" t="str">
            <v>TV COMISS EXTRAORD 05 40H</v>
          </cell>
          <cell r="B144" t="str">
            <v>TV COMISS EXTRAORD</v>
          </cell>
          <cell r="C144" t="str">
            <v>Tabela de Valores Comissionamentos Extraordinarios</v>
          </cell>
          <cell r="D144" t="str">
            <v>40H</v>
          </cell>
          <cell r="E144">
            <v>41091</v>
          </cell>
          <cell r="G144" t="str">
            <v>05</v>
          </cell>
          <cell r="H144" t="str">
            <v>CCEX05</v>
          </cell>
          <cell r="I144" t="str">
            <v>Básico</v>
          </cell>
          <cell r="J144">
            <v>1447.73</v>
          </cell>
        </row>
        <row r="145">
          <cell r="A145" t="str">
            <v>TV COMISS EXTRAORD 06 40H</v>
          </cell>
          <cell r="B145" t="str">
            <v>TV COMISS EXTRAORD</v>
          </cell>
          <cell r="C145" t="str">
            <v>Tabela de Valores Comissionamentos Extraordinarios</v>
          </cell>
          <cell r="D145" t="str">
            <v>40H</v>
          </cell>
          <cell r="E145">
            <v>41091</v>
          </cell>
          <cell r="G145" t="str">
            <v>06</v>
          </cell>
          <cell r="H145" t="str">
            <v>CCEX06</v>
          </cell>
          <cell r="I145" t="str">
            <v>Básico</v>
          </cell>
          <cell r="J145">
            <v>1608.42</v>
          </cell>
        </row>
        <row r="146">
          <cell r="A146" t="str">
            <v>TV COMISS EXTRAORD 07 40H</v>
          </cell>
          <cell r="B146" t="str">
            <v>TV COMISS EXTRAORD</v>
          </cell>
          <cell r="C146" t="str">
            <v>Tabela de Valores Comissionamentos Extraordinarios</v>
          </cell>
          <cell r="D146" t="str">
            <v>40H</v>
          </cell>
          <cell r="E146">
            <v>41091</v>
          </cell>
          <cell r="G146" t="str">
            <v>07</v>
          </cell>
          <cell r="H146" t="str">
            <v>CCEX07</v>
          </cell>
          <cell r="I146" t="str">
            <v>Básico</v>
          </cell>
          <cell r="J146">
            <v>1769.38</v>
          </cell>
        </row>
        <row r="147">
          <cell r="A147" t="str">
            <v>TV COMISS EXTRAORD 08 40H</v>
          </cell>
          <cell r="B147" t="str">
            <v>TV COMISS EXTRAORD</v>
          </cell>
          <cell r="C147" t="str">
            <v>Tabela de Valores Comissionamentos Extraordinarios</v>
          </cell>
          <cell r="D147" t="str">
            <v>40H</v>
          </cell>
          <cell r="E147">
            <v>41091</v>
          </cell>
          <cell r="G147" t="str">
            <v>08</v>
          </cell>
          <cell r="H147" t="str">
            <v>CCEX08</v>
          </cell>
          <cell r="I147" t="str">
            <v>Básico</v>
          </cell>
          <cell r="J147">
            <v>1930.07</v>
          </cell>
        </row>
        <row r="148">
          <cell r="A148" t="str">
            <v>TV COMISS EXTRAORD 09 40H</v>
          </cell>
          <cell r="B148" t="str">
            <v>TV COMISS EXTRAORD</v>
          </cell>
          <cell r="C148" t="str">
            <v>Tabela de Valores Comissionamentos Extraordinarios</v>
          </cell>
          <cell r="D148" t="str">
            <v>40H</v>
          </cell>
          <cell r="E148">
            <v>41091</v>
          </cell>
          <cell r="G148" t="str">
            <v>09</v>
          </cell>
          <cell r="H148" t="str">
            <v>CCEX09</v>
          </cell>
          <cell r="I148" t="str">
            <v>Básico</v>
          </cell>
          <cell r="J148">
            <v>2090.9</v>
          </cell>
        </row>
        <row r="149">
          <cell r="A149" t="str">
            <v>TV COMISS EXTRAORD 10 40H</v>
          </cell>
          <cell r="B149" t="str">
            <v>TV COMISS EXTRAORD</v>
          </cell>
          <cell r="C149" t="str">
            <v>Tabela de Valores Comissionamentos Extraordinarios</v>
          </cell>
          <cell r="D149" t="str">
            <v>40H</v>
          </cell>
          <cell r="E149">
            <v>41091</v>
          </cell>
          <cell r="G149" t="str">
            <v>10</v>
          </cell>
          <cell r="H149" t="str">
            <v>CCEX10</v>
          </cell>
          <cell r="I149" t="str">
            <v>Básico</v>
          </cell>
          <cell r="J149">
            <v>2251.58</v>
          </cell>
        </row>
        <row r="150">
          <cell r="A150" t="str">
            <v>TV COMISS EXTRAORD 11 40H</v>
          </cell>
          <cell r="B150" t="str">
            <v>TV COMISS EXTRAORD</v>
          </cell>
          <cell r="C150" t="str">
            <v>Tabela de Valores Comissionamentos Extraordinarios</v>
          </cell>
          <cell r="D150" t="str">
            <v>40H</v>
          </cell>
          <cell r="E150">
            <v>41091</v>
          </cell>
          <cell r="G150" t="str">
            <v>11</v>
          </cell>
          <cell r="H150" t="str">
            <v>CCEX11</v>
          </cell>
          <cell r="I150" t="str">
            <v>Básico</v>
          </cell>
          <cell r="J150">
            <v>2412.68</v>
          </cell>
        </row>
        <row r="151">
          <cell r="A151" t="str">
            <v>TV COMISS EXTRAORD 12 40H</v>
          </cell>
          <cell r="B151" t="str">
            <v>TV COMISS EXTRAORD</v>
          </cell>
          <cell r="C151" t="str">
            <v>Tabela de Valores Comissionamentos Extraordinarios</v>
          </cell>
          <cell r="D151" t="str">
            <v>40H</v>
          </cell>
          <cell r="E151">
            <v>41091</v>
          </cell>
          <cell r="G151" t="str">
            <v>12</v>
          </cell>
          <cell r="H151" t="str">
            <v>CCEX12</v>
          </cell>
          <cell r="I151" t="str">
            <v>Básico</v>
          </cell>
          <cell r="J151">
            <v>2573.37</v>
          </cell>
        </row>
        <row r="152">
          <cell r="A152" t="str">
            <v>TV COMISS EXTRAORD 13 40H</v>
          </cell>
          <cell r="B152" t="str">
            <v>TV COMISS EXTRAORD</v>
          </cell>
          <cell r="C152" t="str">
            <v>Tabela de Valores Comissionamentos Extraordinarios</v>
          </cell>
          <cell r="D152" t="str">
            <v>40H</v>
          </cell>
          <cell r="E152">
            <v>41091</v>
          </cell>
          <cell r="G152" t="str">
            <v>13</v>
          </cell>
          <cell r="H152" t="str">
            <v>CCEX13</v>
          </cell>
          <cell r="I152" t="str">
            <v>Básico</v>
          </cell>
          <cell r="J152">
            <v>2734.21</v>
          </cell>
        </row>
        <row r="153">
          <cell r="A153" t="str">
            <v>TV COMISS EXTRAORD 14 40H</v>
          </cell>
          <cell r="B153" t="str">
            <v>TV COMISS EXTRAORD</v>
          </cell>
          <cell r="C153" t="str">
            <v>Tabela de Valores Comissionamentos Extraordinarios</v>
          </cell>
          <cell r="D153" t="str">
            <v>40H</v>
          </cell>
          <cell r="E153">
            <v>41091</v>
          </cell>
          <cell r="G153" t="str">
            <v>14</v>
          </cell>
          <cell r="H153" t="str">
            <v>CCEX14</v>
          </cell>
          <cell r="I153" t="str">
            <v>Básico</v>
          </cell>
          <cell r="J153">
            <v>2895.03</v>
          </cell>
        </row>
        <row r="154">
          <cell r="A154" t="str">
            <v>TV COMISS EXTRAORD 15 40H</v>
          </cell>
          <cell r="B154" t="str">
            <v>TV COMISS EXTRAORD</v>
          </cell>
          <cell r="C154" t="str">
            <v>Tabela de Valores Comissionamentos Extraordinarios</v>
          </cell>
          <cell r="D154" t="str">
            <v>40H</v>
          </cell>
          <cell r="E154">
            <v>41091</v>
          </cell>
          <cell r="G154" t="str">
            <v>15</v>
          </cell>
          <cell r="H154" t="str">
            <v>CCEX15</v>
          </cell>
          <cell r="I154" t="str">
            <v>Básico</v>
          </cell>
          <cell r="J154">
            <v>3055.73</v>
          </cell>
        </row>
        <row r="155">
          <cell r="A155" t="str">
            <v>TV COMISS EXTRAORD 16 40H</v>
          </cell>
          <cell r="B155" t="str">
            <v>TV COMISS EXTRAORD</v>
          </cell>
          <cell r="C155" t="str">
            <v>Tabela de Valores Comissionamentos Extraordinarios</v>
          </cell>
          <cell r="D155" t="str">
            <v>40H</v>
          </cell>
          <cell r="E155">
            <v>41091</v>
          </cell>
          <cell r="G155" t="str">
            <v>16</v>
          </cell>
          <cell r="H155" t="str">
            <v>CCEX16</v>
          </cell>
          <cell r="I155" t="str">
            <v>Básico</v>
          </cell>
          <cell r="J155">
            <v>3216.41</v>
          </cell>
        </row>
        <row r="156">
          <cell r="A156" t="str">
            <v>TV COMISS EXTRAORD 17 40H</v>
          </cell>
          <cell r="B156" t="str">
            <v>TV COMISS EXTRAORD</v>
          </cell>
          <cell r="C156" t="str">
            <v>Tabela de Valores Comissionamentos Extraordinarios</v>
          </cell>
          <cell r="D156" t="str">
            <v>40H</v>
          </cell>
          <cell r="E156">
            <v>41091</v>
          </cell>
          <cell r="G156" t="str">
            <v>17</v>
          </cell>
          <cell r="H156" t="str">
            <v>CCEX17</v>
          </cell>
          <cell r="I156" t="str">
            <v>Básico</v>
          </cell>
          <cell r="J156">
            <v>3538.33</v>
          </cell>
        </row>
        <row r="157">
          <cell r="A157" t="str">
            <v>TV COMISS EXTRAORD 18 40H</v>
          </cell>
          <cell r="B157" t="str">
            <v>TV COMISS EXTRAORD</v>
          </cell>
          <cell r="C157" t="str">
            <v>Tabela de Valores Comissionamentos Extraordinarios</v>
          </cell>
          <cell r="D157" t="str">
            <v>40H</v>
          </cell>
          <cell r="E157">
            <v>41091</v>
          </cell>
          <cell r="G157" t="str">
            <v>18</v>
          </cell>
          <cell r="H157" t="str">
            <v>CCEX18</v>
          </cell>
          <cell r="I157" t="str">
            <v>Básico</v>
          </cell>
          <cell r="J157">
            <v>3859.87</v>
          </cell>
        </row>
        <row r="158">
          <cell r="A158" t="str">
            <v>TV COMISS EXTRAORD 19 40H</v>
          </cell>
          <cell r="B158" t="str">
            <v>TV COMISS EXTRAORD</v>
          </cell>
          <cell r="C158" t="str">
            <v>Tabela de Valores Comissionamentos Extraordinarios</v>
          </cell>
          <cell r="D158" t="str">
            <v>40H</v>
          </cell>
          <cell r="E158">
            <v>41091</v>
          </cell>
          <cell r="G158" t="str">
            <v>19</v>
          </cell>
          <cell r="H158" t="str">
            <v>CCEX19</v>
          </cell>
          <cell r="I158" t="str">
            <v>Básico</v>
          </cell>
          <cell r="J158">
            <v>4181.53</v>
          </cell>
        </row>
        <row r="159">
          <cell r="A159" t="str">
            <v>TV COMISS EXTRAORD 20 40H</v>
          </cell>
          <cell r="B159" t="str">
            <v>TV COMISS EXTRAORD</v>
          </cell>
          <cell r="C159" t="str">
            <v>Tabela de Valores Comissionamentos Extraordinarios</v>
          </cell>
          <cell r="D159" t="str">
            <v>40H</v>
          </cell>
          <cell r="E159">
            <v>41091</v>
          </cell>
          <cell r="G159" t="str">
            <v>20</v>
          </cell>
          <cell r="H159" t="str">
            <v>CCEX20</v>
          </cell>
          <cell r="I159" t="str">
            <v>Básico</v>
          </cell>
          <cell r="J159">
            <v>4503.05</v>
          </cell>
        </row>
        <row r="160">
          <cell r="A160" t="str">
            <v>TV COMISS EXTRAORD 21 40H</v>
          </cell>
          <cell r="B160" t="str">
            <v>TV COMISS EXTRAORD</v>
          </cell>
          <cell r="C160" t="str">
            <v>Tabela de Valores Comissionamentos Extraordinarios</v>
          </cell>
          <cell r="D160" t="str">
            <v>40H</v>
          </cell>
          <cell r="E160">
            <v>41091</v>
          </cell>
          <cell r="G160" t="str">
            <v>21</v>
          </cell>
          <cell r="H160" t="str">
            <v>CCEX21</v>
          </cell>
          <cell r="I160" t="str">
            <v>Básico</v>
          </cell>
          <cell r="J160">
            <v>4824.56</v>
          </cell>
        </row>
        <row r="161">
          <cell r="A161" t="str">
            <v>TV COMISS EXTRAORD 22 40H</v>
          </cell>
          <cell r="B161" t="str">
            <v>TV COMISS EXTRAORD</v>
          </cell>
          <cell r="C161" t="str">
            <v>Tabela de Valores Comissionamentos Extraordinarios</v>
          </cell>
          <cell r="D161" t="str">
            <v>40H</v>
          </cell>
          <cell r="E161">
            <v>41091</v>
          </cell>
          <cell r="G161" t="str">
            <v>22</v>
          </cell>
          <cell r="H161" t="str">
            <v>CCEX22</v>
          </cell>
          <cell r="I161" t="str">
            <v>Básico</v>
          </cell>
          <cell r="J161">
            <v>5146.35</v>
          </cell>
        </row>
        <row r="162">
          <cell r="A162" t="str">
            <v>TV COMISS FAZENDA 1 01 40H</v>
          </cell>
          <cell r="B162" t="str">
            <v>TV COMISS FAZENDA 1</v>
          </cell>
          <cell r="C162" t="str">
            <v>Tabela de Valores Comissionamentos Fazenda 1</v>
          </cell>
          <cell r="D162" t="str">
            <v>40H</v>
          </cell>
          <cell r="E162">
            <v>41091</v>
          </cell>
          <cell r="G162" t="str">
            <v>01</v>
          </cell>
          <cell r="H162" t="str">
            <v>CCI</v>
          </cell>
          <cell r="I162" t="str">
            <v>Básico</v>
          </cell>
          <cell r="J162">
            <v>444.83</v>
          </cell>
        </row>
        <row r="163">
          <cell r="A163" t="str">
            <v>TV COMISS FAZENDA 1 02 40H</v>
          </cell>
          <cell r="B163" t="str">
            <v>TV COMISS FAZENDA 1</v>
          </cell>
          <cell r="C163" t="str">
            <v>Tabela de Valores Comissionamentos Fazenda 1</v>
          </cell>
          <cell r="D163" t="str">
            <v>40H</v>
          </cell>
          <cell r="E163">
            <v>41091</v>
          </cell>
          <cell r="G163" t="str">
            <v>02</v>
          </cell>
          <cell r="H163" t="str">
            <v>FGI</v>
          </cell>
          <cell r="I163" t="str">
            <v>Básico</v>
          </cell>
          <cell r="J163">
            <v>107.31</v>
          </cell>
        </row>
        <row r="164">
          <cell r="A164" t="str">
            <v>TV COMISS FAZENDA 1 03 40H</v>
          </cell>
          <cell r="B164" t="str">
            <v>TV COMISS FAZENDA 1</v>
          </cell>
          <cell r="C164" t="str">
            <v>Tabela de Valores Comissionamentos Fazenda 1</v>
          </cell>
          <cell r="D164" t="str">
            <v>40H</v>
          </cell>
          <cell r="E164">
            <v>41091</v>
          </cell>
          <cell r="G164" t="str">
            <v>03</v>
          </cell>
          <cell r="H164" t="str">
            <v>CCII</v>
          </cell>
          <cell r="I164" t="str">
            <v>Básico</v>
          </cell>
          <cell r="J164">
            <v>503.94</v>
          </cell>
        </row>
        <row r="165">
          <cell r="A165" t="str">
            <v>TV COMISS FAZENDA 1 04 40H</v>
          </cell>
          <cell r="B165" t="str">
            <v>TV COMISS FAZENDA 1</v>
          </cell>
          <cell r="C165" t="str">
            <v>Tabela de Valores Comissionamentos Fazenda 1</v>
          </cell>
          <cell r="D165" t="str">
            <v>40H</v>
          </cell>
          <cell r="E165">
            <v>41091</v>
          </cell>
          <cell r="G165" t="str">
            <v>04</v>
          </cell>
          <cell r="H165" t="str">
            <v>FGIII</v>
          </cell>
          <cell r="I165" t="str">
            <v>Básico</v>
          </cell>
          <cell r="J165">
            <v>178.77</v>
          </cell>
        </row>
        <row r="166">
          <cell r="A166" t="str">
            <v>TV COMISS FAZENDA 1 05 40H</v>
          </cell>
          <cell r="B166" t="str">
            <v>TV COMISS FAZENDA 1</v>
          </cell>
          <cell r="C166" t="str">
            <v>Tabela de Valores Comissionamentos Fazenda 1</v>
          </cell>
          <cell r="D166" t="str">
            <v>40H</v>
          </cell>
          <cell r="E166">
            <v>41091</v>
          </cell>
          <cell r="G166" t="str">
            <v>05</v>
          </cell>
          <cell r="H166" t="str">
            <v>CCIII</v>
          </cell>
          <cell r="I166" t="str">
            <v>Básico</v>
          </cell>
          <cell r="J166">
            <v>1090.37</v>
          </cell>
        </row>
        <row r="167">
          <cell r="A167" t="str">
            <v>TV COMISS FAZENDA 1 06 40H</v>
          </cell>
          <cell r="B167" t="str">
            <v>TV COMISS FAZENDA 1</v>
          </cell>
          <cell r="C167" t="str">
            <v>Tabela de Valores Comissionamentos Fazenda 1</v>
          </cell>
          <cell r="D167" t="str">
            <v>40H</v>
          </cell>
          <cell r="E167">
            <v>41091</v>
          </cell>
          <cell r="G167" t="str">
            <v>06</v>
          </cell>
          <cell r="H167" t="str">
            <v>FGIV</v>
          </cell>
          <cell r="I167" t="str">
            <v>Básico</v>
          </cell>
          <cell r="J167">
            <v>317.38</v>
          </cell>
        </row>
        <row r="168">
          <cell r="A168" t="str">
            <v>TV COMISS FAZENDA 1 07 40H</v>
          </cell>
          <cell r="B168" t="str">
            <v>TV COMISS FAZENDA 1</v>
          </cell>
          <cell r="C168" t="str">
            <v>Tabela de Valores Comissionamentos Fazenda 1</v>
          </cell>
          <cell r="D168" t="str">
            <v>40H</v>
          </cell>
          <cell r="E168">
            <v>41091</v>
          </cell>
          <cell r="G168" t="str">
            <v>07</v>
          </cell>
          <cell r="H168" t="str">
            <v>CCIV</v>
          </cell>
          <cell r="I168" t="str">
            <v>Básico</v>
          </cell>
          <cell r="J168">
            <v>1771.88</v>
          </cell>
        </row>
        <row r="169">
          <cell r="A169" t="str">
            <v>TV COMISS FAZENDA 1 08 40H</v>
          </cell>
          <cell r="B169" t="str">
            <v>TV COMISS FAZENDA 1</v>
          </cell>
          <cell r="C169" t="str">
            <v>Tabela de Valores Comissionamentos Fazenda 1</v>
          </cell>
          <cell r="D169" t="str">
            <v>40H</v>
          </cell>
          <cell r="E169">
            <v>41091</v>
          </cell>
          <cell r="G169" t="str">
            <v>08</v>
          </cell>
          <cell r="H169" t="str">
            <v>FGVI</v>
          </cell>
          <cell r="I169" t="str">
            <v>Básico</v>
          </cell>
          <cell r="J169">
            <v>555.74</v>
          </cell>
        </row>
        <row r="170">
          <cell r="A170" t="str">
            <v>TV COMISS FAZENDA 2 01 40H</v>
          </cell>
          <cell r="B170" t="str">
            <v>TV COMISS FAZENDA 2</v>
          </cell>
          <cell r="C170" t="str">
            <v>Tabela de Valores Comissionamentos Fazenda 2</v>
          </cell>
          <cell r="D170" t="str">
            <v>40H</v>
          </cell>
          <cell r="E170">
            <v>41091</v>
          </cell>
          <cell r="G170" t="str">
            <v>01</v>
          </cell>
          <cell r="H170" t="str">
            <v>CCI</v>
          </cell>
          <cell r="I170" t="str">
            <v>Básico</v>
          </cell>
          <cell r="J170">
            <v>444.83</v>
          </cell>
        </row>
        <row r="171">
          <cell r="A171" t="str">
            <v>TV COMISS FAZENDA 2 02 40H</v>
          </cell>
          <cell r="B171" t="str">
            <v>TV COMISS FAZENDA 2</v>
          </cell>
          <cell r="C171" t="str">
            <v>Tabela de Valores Comissionamentos Fazenda 2</v>
          </cell>
          <cell r="D171" t="str">
            <v>40H</v>
          </cell>
          <cell r="E171">
            <v>41091</v>
          </cell>
          <cell r="G171" t="str">
            <v>02</v>
          </cell>
          <cell r="H171" t="str">
            <v>FGII</v>
          </cell>
          <cell r="I171" t="str">
            <v>Básico</v>
          </cell>
          <cell r="J171">
            <v>155.15</v>
          </cell>
        </row>
        <row r="172">
          <cell r="A172" t="str">
            <v>TV COMISS FAZENDA 2 03 40H</v>
          </cell>
          <cell r="B172" t="str">
            <v>TV COMISS FAZENDA 2</v>
          </cell>
          <cell r="C172" t="str">
            <v>Tabela de Valores Comissionamentos Fazenda 2</v>
          </cell>
          <cell r="D172" t="str">
            <v>40H</v>
          </cell>
          <cell r="E172">
            <v>41091</v>
          </cell>
          <cell r="G172" t="str">
            <v>03</v>
          </cell>
          <cell r="H172" t="str">
            <v>CCIII</v>
          </cell>
          <cell r="I172" t="str">
            <v>Básico</v>
          </cell>
          <cell r="J172">
            <v>1090.37</v>
          </cell>
        </row>
        <row r="173">
          <cell r="A173" t="str">
            <v>TV COMISS FAZENDA 2 04 40H</v>
          </cell>
          <cell r="B173" t="str">
            <v>TV COMISS FAZENDA 2</v>
          </cell>
          <cell r="C173" t="str">
            <v>Tabela de Valores Comissionamentos Fazenda 2</v>
          </cell>
          <cell r="D173" t="str">
            <v>40H</v>
          </cell>
          <cell r="E173">
            <v>41091</v>
          </cell>
          <cell r="G173" t="str">
            <v>04</v>
          </cell>
          <cell r="H173" t="str">
            <v>FGV</v>
          </cell>
          <cell r="I173" t="str">
            <v>Básico</v>
          </cell>
          <cell r="J173">
            <v>499.14</v>
          </cell>
        </row>
        <row r="174">
          <cell r="A174" t="str">
            <v>TV COMISS FAZENDA 2 05 40H</v>
          </cell>
          <cell r="B174" t="str">
            <v>TV COMISS FAZENDA 2</v>
          </cell>
          <cell r="C174" t="str">
            <v>Tabela de Valores Comissionamentos Fazenda 2</v>
          </cell>
          <cell r="D174" t="str">
            <v>40H</v>
          </cell>
          <cell r="E174">
            <v>41091</v>
          </cell>
          <cell r="G174" t="str">
            <v>05</v>
          </cell>
          <cell r="H174" t="str">
            <v>CCIV</v>
          </cell>
          <cell r="I174" t="str">
            <v>Básico</v>
          </cell>
          <cell r="J174">
            <v>1771.88</v>
          </cell>
        </row>
        <row r="175">
          <cell r="A175" t="str">
            <v>TV COMISS FAZENDA 2 06 40H</v>
          </cell>
          <cell r="B175" t="str">
            <v>TV COMISS FAZENDA 2</v>
          </cell>
          <cell r="C175" t="str">
            <v>Tabela de Valores Comissionamentos Fazenda 2</v>
          </cell>
          <cell r="D175" t="str">
            <v>40H</v>
          </cell>
          <cell r="E175">
            <v>41091</v>
          </cell>
          <cell r="G175" t="str">
            <v>06</v>
          </cell>
          <cell r="H175" t="str">
            <v>FGVII</v>
          </cell>
          <cell r="I175" t="str">
            <v>Básico</v>
          </cell>
          <cell r="J175">
            <v>708.97</v>
          </cell>
        </row>
        <row r="176">
          <cell r="A176" t="str">
            <v>TV COMISS GERAL 01 30H</v>
          </cell>
          <cell r="B176" t="str">
            <v>TV COMISS GERAL</v>
          </cell>
          <cell r="C176" t="str">
            <v>Tabela de Valores Comissionamentos Geral</v>
          </cell>
          <cell r="D176" t="str">
            <v>30H</v>
          </cell>
          <cell r="E176">
            <v>40238</v>
          </cell>
          <cell r="G176" t="str">
            <v>01</v>
          </cell>
          <cell r="H176" t="str">
            <v>CC01</v>
          </cell>
          <cell r="I176" t="str">
            <v>Básico</v>
          </cell>
          <cell r="J176">
            <v>173.56</v>
          </cell>
          <cell r="K176" t="str">
            <v>Sus</v>
          </cell>
        </row>
        <row r="177">
          <cell r="A177" t="str">
            <v>TV COMISS GERAL 02 30H</v>
          </cell>
          <cell r="B177" t="str">
            <v>TV COMISS GERAL</v>
          </cell>
          <cell r="C177" t="str">
            <v>Tabela de Valores Comissionamentos Geral</v>
          </cell>
          <cell r="D177" t="str">
            <v>30H</v>
          </cell>
          <cell r="E177">
            <v>40238</v>
          </cell>
          <cell r="G177" t="str">
            <v>02</v>
          </cell>
          <cell r="H177" t="str">
            <v>FG01</v>
          </cell>
          <cell r="I177" t="str">
            <v>Básico</v>
          </cell>
          <cell r="J177">
            <v>52.43</v>
          </cell>
          <cell r="K177" t="str">
            <v>Sus</v>
          </cell>
        </row>
        <row r="178">
          <cell r="A178" t="str">
            <v>TV COMISS GERAL 03 30H</v>
          </cell>
          <cell r="B178" t="str">
            <v>TV COMISS GERAL</v>
          </cell>
          <cell r="C178" t="str">
            <v>Tabela de Valores Comissionamentos Geral</v>
          </cell>
          <cell r="D178" t="str">
            <v>30H</v>
          </cell>
          <cell r="E178">
            <v>40238</v>
          </cell>
          <cell r="G178" t="str">
            <v>03</v>
          </cell>
          <cell r="H178" t="str">
            <v>CC02</v>
          </cell>
          <cell r="I178" t="str">
            <v>Básico</v>
          </cell>
          <cell r="J178">
            <v>199.55</v>
          </cell>
          <cell r="K178" t="str">
            <v>Sus</v>
          </cell>
        </row>
        <row r="179">
          <cell r="A179" t="str">
            <v>TV COMISS GERAL 04 30H</v>
          </cell>
          <cell r="B179" t="str">
            <v>TV COMISS GERAL</v>
          </cell>
          <cell r="C179" t="str">
            <v>Tabela de Valores Comissionamentos Geral</v>
          </cell>
          <cell r="D179" t="str">
            <v>30H</v>
          </cell>
          <cell r="E179">
            <v>40238</v>
          </cell>
          <cell r="G179" t="str">
            <v>04</v>
          </cell>
          <cell r="H179" t="str">
            <v>FG02</v>
          </cell>
          <cell r="I179" t="str">
            <v>Básico</v>
          </cell>
          <cell r="J179">
            <v>62.77</v>
          </cell>
          <cell r="K179" t="str">
            <v>Sus</v>
          </cell>
        </row>
        <row r="180">
          <cell r="A180" t="str">
            <v>TV COMISS GERAL 05 30H</v>
          </cell>
          <cell r="B180" t="str">
            <v>TV COMISS GERAL</v>
          </cell>
          <cell r="C180" t="str">
            <v>Tabela de Valores Comissionamentos Geral</v>
          </cell>
          <cell r="D180" t="str">
            <v>30H</v>
          </cell>
          <cell r="E180">
            <v>40238</v>
          </cell>
          <cell r="G180" t="str">
            <v>05</v>
          </cell>
          <cell r="H180" t="str">
            <v>CC03</v>
          </cell>
          <cell r="I180" t="str">
            <v>Básico</v>
          </cell>
          <cell r="J180">
            <v>243.97</v>
          </cell>
          <cell r="K180" t="str">
            <v>Sus</v>
          </cell>
        </row>
        <row r="181">
          <cell r="A181" t="str">
            <v>TV COMISS GERAL 06 30H</v>
          </cell>
          <cell r="B181" t="str">
            <v>TV COMISS GERAL</v>
          </cell>
          <cell r="C181" t="str">
            <v>Tabela de Valores Comissionamentos Geral</v>
          </cell>
          <cell r="D181" t="str">
            <v>30H</v>
          </cell>
          <cell r="E181">
            <v>40238</v>
          </cell>
          <cell r="G181" t="str">
            <v>06</v>
          </cell>
          <cell r="H181" t="str">
            <v>FG03</v>
          </cell>
          <cell r="I181" t="str">
            <v>Básico</v>
          </cell>
          <cell r="J181">
            <v>80.48</v>
          </cell>
          <cell r="K181" t="str">
            <v>Sus</v>
          </cell>
        </row>
        <row r="182">
          <cell r="A182" t="str">
            <v>TV COMISS GERAL 07 30H</v>
          </cell>
          <cell r="B182" t="str">
            <v>TV COMISS GERAL</v>
          </cell>
          <cell r="C182" t="str">
            <v>Tabela de Valores Comissionamentos Geral</v>
          </cell>
          <cell r="D182" t="str">
            <v>30H</v>
          </cell>
          <cell r="E182">
            <v>40238</v>
          </cell>
          <cell r="G182" t="str">
            <v>07</v>
          </cell>
          <cell r="H182" t="str">
            <v>CC04</v>
          </cell>
          <cell r="I182" t="str">
            <v>Básico</v>
          </cell>
          <cell r="J182">
            <v>288.3</v>
          </cell>
          <cell r="K182" t="str">
            <v>Sus</v>
          </cell>
        </row>
        <row r="183">
          <cell r="A183" t="str">
            <v>TV COMISS GERAL 08 30H</v>
          </cell>
          <cell r="B183" t="str">
            <v>TV COMISS GERAL</v>
          </cell>
          <cell r="C183" t="str">
            <v>Tabela de Valores Comissionamentos Geral</v>
          </cell>
          <cell r="D183" t="str">
            <v>30H</v>
          </cell>
          <cell r="E183">
            <v>40238</v>
          </cell>
          <cell r="G183" t="str">
            <v>08</v>
          </cell>
          <cell r="H183" t="str">
            <v>FG04</v>
          </cell>
          <cell r="I183" t="str">
            <v>Básico</v>
          </cell>
          <cell r="J183">
            <v>98.2</v>
          </cell>
          <cell r="K183" t="str">
            <v>Sus</v>
          </cell>
        </row>
        <row r="184">
          <cell r="A184" t="str">
            <v>TV COMISS GERAL 09 30H</v>
          </cell>
          <cell r="B184" t="str">
            <v>TV COMISS GERAL</v>
          </cell>
          <cell r="C184" t="str">
            <v>Tabela de Valores Comissionamentos Geral</v>
          </cell>
          <cell r="D184" t="str">
            <v>30H</v>
          </cell>
          <cell r="E184">
            <v>40238</v>
          </cell>
          <cell r="G184" t="str">
            <v>09</v>
          </cell>
          <cell r="H184" t="str">
            <v>CC05</v>
          </cell>
          <cell r="I184" t="str">
            <v>Básico</v>
          </cell>
          <cell r="J184">
            <v>333.62</v>
          </cell>
          <cell r="K184" t="str">
            <v>Sus</v>
          </cell>
        </row>
        <row r="185">
          <cell r="A185" t="str">
            <v>TV COMISS GERAL 10 30H</v>
          </cell>
          <cell r="B185" t="str">
            <v>TV COMISS GERAL</v>
          </cell>
          <cell r="C185" t="str">
            <v>Tabela de Valores Comissionamentos Geral</v>
          </cell>
          <cell r="D185" t="str">
            <v>30H</v>
          </cell>
          <cell r="E185">
            <v>40238</v>
          </cell>
          <cell r="G185" t="str">
            <v>10</v>
          </cell>
          <cell r="H185" t="str">
            <v>FG05</v>
          </cell>
          <cell r="I185" t="str">
            <v>Básico</v>
          </cell>
          <cell r="J185">
            <v>116.36</v>
          </cell>
          <cell r="K185" t="str">
            <v>Sus</v>
          </cell>
        </row>
        <row r="186">
          <cell r="A186" t="str">
            <v>TV COMISS GERAL 11 30H</v>
          </cell>
          <cell r="B186" t="str">
            <v>TV COMISS GERAL</v>
          </cell>
          <cell r="C186" t="str">
            <v>Tabela de Valores Comissionamentos Geral</v>
          </cell>
          <cell r="D186" t="str">
            <v>30H</v>
          </cell>
          <cell r="E186">
            <v>40238</v>
          </cell>
          <cell r="G186" t="str">
            <v>11</v>
          </cell>
          <cell r="H186" t="str">
            <v>CC06</v>
          </cell>
          <cell r="I186" t="str">
            <v>Básico</v>
          </cell>
          <cell r="J186">
            <v>377.96</v>
          </cell>
          <cell r="K186" t="str">
            <v>Sus</v>
          </cell>
        </row>
        <row r="187">
          <cell r="A187" t="str">
            <v>TV COMISS GERAL 12 30H</v>
          </cell>
          <cell r="B187" t="str">
            <v>TV COMISS GERAL</v>
          </cell>
          <cell r="C187" t="str">
            <v>Tabela de Valores Comissionamentos Geral</v>
          </cell>
          <cell r="D187" t="str">
            <v>30H</v>
          </cell>
          <cell r="E187">
            <v>40238</v>
          </cell>
          <cell r="G187" t="str">
            <v>12</v>
          </cell>
          <cell r="H187" t="str">
            <v>FG06</v>
          </cell>
          <cell r="I187" t="str">
            <v>Básico</v>
          </cell>
          <cell r="J187">
            <v>134.08</v>
          </cell>
          <cell r="K187" t="str">
            <v>Sus</v>
          </cell>
        </row>
        <row r="188">
          <cell r="A188" t="str">
            <v>TV COMISS GERAL 13 30H</v>
          </cell>
          <cell r="B188" t="str">
            <v>TV COMISS GERAL</v>
          </cell>
          <cell r="C188" t="str">
            <v>Tabela de Valores Comissionamentos Geral</v>
          </cell>
          <cell r="D188" t="str">
            <v>30H</v>
          </cell>
          <cell r="E188">
            <v>40238</v>
          </cell>
          <cell r="G188" t="str">
            <v>13</v>
          </cell>
          <cell r="H188" t="str">
            <v>CC07</v>
          </cell>
          <cell r="I188" t="str">
            <v>Básico</v>
          </cell>
          <cell r="J188">
            <v>422.2</v>
          </cell>
          <cell r="K188" t="str">
            <v>Sus</v>
          </cell>
        </row>
        <row r="189">
          <cell r="A189" t="str">
            <v>TV COMISS GERAL 14 30H</v>
          </cell>
          <cell r="B189" t="str">
            <v>TV COMISS GERAL</v>
          </cell>
          <cell r="C189" t="str">
            <v>Tabela de Valores Comissionamentos Geral</v>
          </cell>
          <cell r="D189" t="str">
            <v>30H</v>
          </cell>
          <cell r="E189">
            <v>40238</v>
          </cell>
          <cell r="G189" t="str">
            <v>14</v>
          </cell>
          <cell r="H189" t="str">
            <v>FG07</v>
          </cell>
          <cell r="I189" t="str">
            <v>Básico</v>
          </cell>
          <cell r="J189">
            <v>151.88</v>
          </cell>
          <cell r="K189" t="str">
            <v>Sus</v>
          </cell>
        </row>
        <row r="190">
          <cell r="A190" t="str">
            <v>TV COMISS GERAL 15 30H</v>
          </cell>
          <cell r="B190" t="str">
            <v>TV COMISS GERAL</v>
          </cell>
          <cell r="C190" t="str">
            <v>Tabela de Valores Comissionamentos Geral</v>
          </cell>
          <cell r="D190" t="str">
            <v>30H</v>
          </cell>
          <cell r="E190">
            <v>40238</v>
          </cell>
          <cell r="G190" t="str">
            <v>15</v>
          </cell>
          <cell r="H190" t="str">
            <v>CC08</v>
          </cell>
          <cell r="I190" t="str">
            <v>Básico</v>
          </cell>
          <cell r="J190">
            <v>673.66</v>
          </cell>
          <cell r="K190" t="str">
            <v>Sus</v>
          </cell>
        </row>
        <row r="191">
          <cell r="A191" t="str">
            <v>TV COMISS GERAL 16 30H</v>
          </cell>
          <cell r="B191" t="str">
            <v>TV COMISS GERAL</v>
          </cell>
          <cell r="C191" t="str">
            <v>Tabela de Valores Comissionamentos Geral</v>
          </cell>
          <cell r="D191" t="str">
            <v>30H</v>
          </cell>
          <cell r="E191">
            <v>40238</v>
          </cell>
          <cell r="G191" t="str">
            <v>16</v>
          </cell>
          <cell r="H191" t="str">
            <v>FG08</v>
          </cell>
          <cell r="I191" t="str">
            <v>Básico</v>
          </cell>
          <cell r="J191">
            <v>237.95</v>
          </cell>
          <cell r="K191" t="str">
            <v>Sus</v>
          </cell>
        </row>
        <row r="192">
          <cell r="A192" t="str">
            <v>TV COMISS GERAL 17 30H</v>
          </cell>
          <cell r="B192" t="str">
            <v>TV COMISS GERAL</v>
          </cell>
          <cell r="C192" t="str">
            <v>Tabela de Valores Comissionamentos Geral</v>
          </cell>
          <cell r="D192" t="str">
            <v>30H</v>
          </cell>
          <cell r="E192">
            <v>40238</v>
          </cell>
          <cell r="G192" t="str">
            <v>17</v>
          </cell>
          <cell r="H192" t="str">
            <v>CC09</v>
          </cell>
          <cell r="I192" t="str">
            <v>Básico</v>
          </cell>
          <cell r="J192">
            <v>817.78</v>
          </cell>
          <cell r="K192" t="str">
            <v>Sus</v>
          </cell>
        </row>
        <row r="193">
          <cell r="A193" t="str">
            <v>TV COMISS GERAL 18 30H</v>
          </cell>
          <cell r="B193" t="str">
            <v>TV COMISS GERAL</v>
          </cell>
          <cell r="C193" t="str">
            <v>Tabela de Valores Comissionamentos Geral</v>
          </cell>
          <cell r="D193" t="str">
            <v>30H</v>
          </cell>
          <cell r="E193">
            <v>40238</v>
          </cell>
          <cell r="G193" t="str">
            <v>18</v>
          </cell>
          <cell r="H193" t="str">
            <v>FG09</v>
          </cell>
          <cell r="I193" t="str">
            <v>Básico</v>
          </cell>
          <cell r="J193">
            <v>327.42</v>
          </cell>
          <cell r="K193" t="str">
            <v>Sus</v>
          </cell>
        </row>
        <row r="194">
          <cell r="A194" t="str">
            <v>TV COMISS GERAL 19 30H</v>
          </cell>
          <cell r="B194" t="str">
            <v>TV COMISS GERAL</v>
          </cell>
          <cell r="C194" t="str">
            <v>Tabela de Valores Comissionamentos Geral</v>
          </cell>
          <cell r="D194" t="str">
            <v>30H</v>
          </cell>
          <cell r="E194">
            <v>40238</v>
          </cell>
          <cell r="G194" t="str">
            <v>19</v>
          </cell>
          <cell r="H194" t="str">
            <v>CC10</v>
          </cell>
          <cell r="I194" t="str">
            <v>Básico</v>
          </cell>
          <cell r="J194">
            <v>935.67</v>
          </cell>
          <cell r="K194" t="str">
            <v>Sus</v>
          </cell>
        </row>
        <row r="195">
          <cell r="A195" t="str">
            <v>TV COMISS GERAL 20 30H</v>
          </cell>
          <cell r="B195" t="str">
            <v>TV COMISS GERAL</v>
          </cell>
          <cell r="C195" t="str">
            <v>Tabela de Valores Comissionamentos Geral</v>
          </cell>
          <cell r="D195" t="str">
            <v>30H</v>
          </cell>
          <cell r="E195">
            <v>40238</v>
          </cell>
          <cell r="G195" t="str">
            <v>20</v>
          </cell>
          <cell r="H195" t="str">
            <v>FG10</v>
          </cell>
          <cell r="I195" t="str">
            <v>Básico</v>
          </cell>
          <cell r="J195">
            <v>374.36</v>
          </cell>
          <cell r="K195" t="str">
            <v>Sus</v>
          </cell>
        </row>
        <row r="196">
          <cell r="A196" t="str">
            <v>TV COMISS GERAL 21 30H</v>
          </cell>
          <cell r="B196" t="str">
            <v>TV COMISS GERAL</v>
          </cell>
          <cell r="C196" t="str">
            <v>Tabela de Valores Comissionamentos Geral</v>
          </cell>
          <cell r="D196" t="str">
            <v>30H</v>
          </cell>
          <cell r="E196">
            <v>40238</v>
          </cell>
          <cell r="G196" t="str">
            <v>21</v>
          </cell>
          <cell r="H196" t="str">
            <v>CC11</v>
          </cell>
          <cell r="I196" t="str">
            <v>Básico</v>
          </cell>
          <cell r="J196">
            <v>1041.78</v>
          </cell>
          <cell r="K196" t="str">
            <v>Sus</v>
          </cell>
        </row>
        <row r="197">
          <cell r="A197" t="str">
            <v>TV COMISS GERAL 22 30H</v>
          </cell>
          <cell r="B197" t="str">
            <v>TV COMISS GERAL</v>
          </cell>
          <cell r="C197" t="str">
            <v>Tabela de Valores Comissionamentos Geral</v>
          </cell>
          <cell r="D197" t="str">
            <v>30H</v>
          </cell>
          <cell r="E197">
            <v>40238</v>
          </cell>
          <cell r="G197" t="str">
            <v>22</v>
          </cell>
          <cell r="H197" t="str">
            <v>FG11</v>
          </cell>
          <cell r="I197" t="str">
            <v>Básico</v>
          </cell>
          <cell r="J197">
            <v>416.81</v>
          </cell>
          <cell r="K197" t="str">
            <v>Sus</v>
          </cell>
        </row>
        <row r="198">
          <cell r="A198" t="str">
            <v>TV COMISS GERAL 23 30H</v>
          </cell>
          <cell r="B198" t="str">
            <v>TV COMISS GERAL</v>
          </cell>
          <cell r="C198" t="str">
            <v>Tabela de Valores Comissionamentos Geral</v>
          </cell>
          <cell r="D198" t="str">
            <v>30H</v>
          </cell>
          <cell r="E198">
            <v>40238</v>
          </cell>
          <cell r="G198" t="str">
            <v>23</v>
          </cell>
          <cell r="H198" t="str">
            <v>CC12</v>
          </cell>
          <cell r="I198" t="str">
            <v>Básico</v>
          </cell>
          <cell r="J198">
            <v>1328.91</v>
          </cell>
          <cell r="K198" t="str">
            <v>Sus</v>
          </cell>
        </row>
        <row r="199">
          <cell r="A199" t="str">
            <v>TV COMISS GERAL 24 30H</v>
          </cell>
          <cell r="B199" t="str">
            <v>TV COMISS GERAL</v>
          </cell>
          <cell r="C199" t="str">
            <v>Tabela de Valores Comissionamentos Geral</v>
          </cell>
          <cell r="D199" t="str">
            <v>30H</v>
          </cell>
          <cell r="E199">
            <v>40238</v>
          </cell>
          <cell r="G199" t="str">
            <v>24</v>
          </cell>
          <cell r="H199" t="str">
            <v>FG12</v>
          </cell>
          <cell r="I199" t="str">
            <v>Básico</v>
          </cell>
          <cell r="J199">
            <v>531.73</v>
          </cell>
          <cell r="K199" t="str">
            <v>Sus</v>
          </cell>
        </row>
        <row r="200">
          <cell r="A200" t="str">
            <v>TV COMISS GERAL 25 30H</v>
          </cell>
          <cell r="B200" t="str">
            <v>TV COMISS GERAL</v>
          </cell>
          <cell r="C200" t="str">
            <v>Tabela de Valores Comissionamentos Geral</v>
          </cell>
          <cell r="D200" t="str">
            <v>30H</v>
          </cell>
          <cell r="E200">
            <v>40238</v>
          </cell>
          <cell r="G200" t="str">
            <v>25</v>
          </cell>
          <cell r="H200" t="str">
            <v>AS01</v>
          </cell>
          <cell r="I200" t="str">
            <v>Básico</v>
          </cell>
          <cell r="J200">
            <v>0</v>
          </cell>
          <cell r="K200" t="str">
            <v>Sus</v>
          </cell>
        </row>
        <row r="201">
          <cell r="A201" t="str">
            <v>TV COMISS GERAL 26 30H</v>
          </cell>
          <cell r="B201" t="str">
            <v>TV COMISS GERAL</v>
          </cell>
          <cell r="C201" t="str">
            <v>Tabela de Valores Comissionamentos Geral</v>
          </cell>
          <cell r="D201" t="str">
            <v>30H</v>
          </cell>
          <cell r="E201">
            <v>40238</v>
          </cell>
          <cell r="G201" t="str">
            <v>26</v>
          </cell>
          <cell r="H201" t="str">
            <v>AS02</v>
          </cell>
          <cell r="I201" t="str">
            <v>Básico</v>
          </cell>
          <cell r="J201">
            <v>0</v>
          </cell>
          <cell r="K201" t="str">
            <v>Sus</v>
          </cell>
        </row>
        <row r="202">
          <cell r="A202" t="str">
            <v>TV COMISS GERAL 27 30H</v>
          </cell>
          <cell r="B202" t="str">
            <v>TV COMISS GERAL</v>
          </cell>
          <cell r="C202" t="str">
            <v>Tabela de Valores Comissionamentos Geral</v>
          </cell>
          <cell r="D202" t="str">
            <v>30H</v>
          </cell>
          <cell r="E202">
            <v>40238</v>
          </cell>
          <cell r="G202" t="str">
            <v>27</v>
          </cell>
          <cell r="H202" t="str">
            <v>AS03</v>
          </cell>
          <cell r="I202" t="str">
            <v>Básico</v>
          </cell>
          <cell r="J202">
            <v>0</v>
          </cell>
          <cell r="K202" t="str">
            <v>Sus</v>
          </cell>
        </row>
        <row r="203">
          <cell r="A203" t="str">
            <v>TV COMISS GERAL 28 30H</v>
          </cell>
          <cell r="B203" t="str">
            <v>TV COMISS GERAL</v>
          </cell>
          <cell r="C203" t="str">
            <v>Tabela de Valores Comissionamentos Geral</v>
          </cell>
          <cell r="D203" t="str">
            <v>30H</v>
          </cell>
          <cell r="E203">
            <v>40238</v>
          </cell>
          <cell r="G203" t="str">
            <v>28</v>
          </cell>
          <cell r="H203" t="str">
            <v>AS04</v>
          </cell>
          <cell r="I203" t="str">
            <v>Básico</v>
          </cell>
          <cell r="J203">
            <v>0</v>
          </cell>
          <cell r="K203" t="str">
            <v>Sus</v>
          </cell>
        </row>
        <row r="204">
          <cell r="A204" t="str">
            <v>TV COMISS GERAL 29 30H</v>
          </cell>
          <cell r="B204" t="str">
            <v>TV COMISS GERAL</v>
          </cell>
          <cell r="C204" t="str">
            <v>Tabela de Valores Comissionamentos Geral</v>
          </cell>
          <cell r="D204" t="str">
            <v>30H</v>
          </cell>
          <cell r="E204">
            <v>40238</v>
          </cell>
          <cell r="G204" t="str">
            <v>29</v>
          </cell>
          <cell r="H204" t="str">
            <v>AS05</v>
          </cell>
          <cell r="I204" t="str">
            <v>Básico</v>
          </cell>
          <cell r="J204">
            <v>0</v>
          </cell>
          <cell r="K204" t="str">
            <v>Sus</v>
          </cell>
        </row>
        <row r="205">
          <cell r="A205" t="str">
            <v>TV COMISS GERAL 30 30H</v>
          </cell>
          <cell r="B205" t="str">
            <v>TV COMISS GERAL</v>
          </cell>
          <cell r="C205" t="str">
            <v>Tabela de Valores Comissionamentos Geral</v>
          </cell>
          <cell r="D205" t="str">
            <v>30H</v>
          </cell>
          <cell r="E205">
            <v>40238</v>
          </cell>
          <cell r="G205" t="str">
            <v>30</v>
          </cell>
          <cell r="H205" t="str">
            <v>AS06</v>
          </cell>
          <cell r="I205" t="str">
            <v>Básico</v>
          </cell>
          <cell r="J205">
            <v>0</v>
          </cell>
          <cell r="K205" t="str">
            <v>Sus</v>
          </cell>
        </row>
        <row r="206">
          <cell r="A206" t="str">
            <v>TV COMISS GERAL 31 30H</v>
          </cell>
          <cell r="B206" t="str">
            <v>TV COMISS GERAL</v>
          </cell>
          <cell r="C206" t="str">
            <v>Tabela de Valores Comissionamentos Geral</v>
          </cell>
          <cell r="D206" t="str">
            <v>30H</v>
          </cell>
          <cell r="E206">
            <v>40238</v>
          </cell>
          <cell r="G206" t="str">
            <v>31</v>
          </cell>
          <cell r="H206" t="str">
            <v>CCA</v>
          </cell>
          <cell r="I206" t="str">
            <v>Básico</v>
          </cell>
          <cell r="J206">
            <v>0</v>
          </cell>
          <cell r="K206" t="str">
            <v>Sus</v>
          </cell>
        </row>
        <row r="207">
          <cell r="A207" t="str">
            <v>TV COMISS GERAL 32 30H</v>
          </cell>
          <cell r="B207" t="str">
            <v>TV COMISS GERAL</v>
          </cell>
          <cell r="C207" t="str">
            <v>Tabela de Valores Comissionamentos Geral</v>
          </cell>
          <cell r="D207" t="str">
            <v>30H</v>
          </cell>
          <cell r="E207">
            <v>40238</v>
          </cell>
          <cell r="G207" t="str">
            <v>32</v>
          </cell>
          <cell r="H207" t="str">
            <v>FGA</v>
          </cell>
          <cell r="I207" t="str">
            <v>Básico</v>
          </cell>
          <cell r="J207">
            <v>0</v>
          </cell>
          <cell r="K207" t="str">
            <v>Sus</v>
          </cell>
        </row>
        <row r="208">
          <cell r="A208" t="str">
            <v>TV COMISS GERAL 01 40H</v>
          </cell>
          <cell r="B208" t="str">
            <v>TV COMISS GERAL</v>
          </cell>
          <cell r="C208" t="str">
            <v>Tabela de Valores Comissionamentos Geral</v>
          </cell>
          <cell r="D208" t="str">
            <v>40H</v>
          </cell>
          <cell r="E208">
            <v>41091</v>
          </cell>
          <cell r="G208" t="str">
            <v>01</v>
          </cell>
          <cell r="H208" t="str">
            <v>CC01</v>
          </cell>
          <cell r="I208" t="str">
            <v>Básico</v>
          </cell>
          <cell r="J208">
            <v>231.41</v>
          </cell>
          <cell r="K208" t="str">
            <v>Sus</v>
          </cell>
          <cell r="L208">
            <v>8.5</v>
          </cell>
        </row>
        <row r="209">
          <cell r="A209" t="str">
            <v>TV COMISS GERAL 02 40H</v>
          </cell>
          <cell r="B209" t="str">
            <v>TV COMISS GERAL</v>
          </cell>
          <cell r="C209" t="str">
            <v>Tabela de Valores Comissionamentos Geral</v>
          </cell>
          <cell r="D209" t="str">
            <v>40H</v>
          </cell>
          <cell r="E209">
            <v>41091</v>
          </cell>
          <cell r="G209" t="str">
            <v>02</v>
          </cell>
          <cell r="H209" t="str">
            <v>FG01</v>
          </cell>
          <cell r="I209" t="str">
            <v>Básico</v>
          </cell>
          <cell r="J209">
            <v>69.9</v>
          </cell>
          <cell r="K209" t="str">
            <v>Sus</v>
          </cell>
        </row>
        <row r="210">
          <cell r="A210" t="str">
            <v>TV COMISS GERAL 03 40H</v>
          </cell>
          <cell r="B210" t="str">
            <v>TV COMISS GERAL</v>
          </cell>
          <cell r="C210" t="str">
            <v>Tabela de Valores Comissionamentos Geral</v>
          </cell>
          <cell r="D210" t="str">
            <v>40H</v>
          </cell>
          <cell r="E210">
            <v>41091</v>
          </cell>
          <cell r="G210" t="str">
            <v>03</v>
          </cell>
          <cell r="H210" t="str">
            <v>CC02</v>
          </cell>
          <cell r="I210" t="str">
            <v>Básico</v>
          </cell>
          <cell r="J210">
            <v>266.06</v>
          </cell>
          <cell r="K210" t="str">
            <v>Sus</v>
          </cell>
          <cell r="L210">
            <v>8.5</v>
          </cell>
        </row>
        <row r="211">
          <cell r="A211" t="str">
            <v>TV COMISS GERAL 04 40H</v>
          </cell>
          <cell r="B211" t="str">
            <v>TV COMISS GERAL</v>
          </cell>
          <cell r="C211" t="str">
            <v>Tabela de Valores Comissionamentos Geral</v>
          </cell>
          <cell r="D211" t="str">
            <v>40H</v>
          </cell>
          <cell r="E211">
            <v>41091</v>
          </cell>
          <cell r="G211" t="str">
            <v>04</v>
          </cell>
          <cell r="H211" t="str">
            <v>FG02</v>
          </cell>
          <cell r="I211" t="str">
            <v>Básico</v>
          </cell>
          <cell r="J211">
            <v>83.69</v>
          </cell>
          <cell r="K211" t="str">
            <v>Sus</v>
          </cell>
        </row>
        <row r="212">
          <cell r="A212" t="str">
            <v>TV COMISS GERAL 05 40H</v>
          </cell>
          <cell r="B212" t="str">
            <v>TV COMISS GERAL</v>
          </cell>
          <cell r="C212" t="str">
            <v>Tabela de Valores Comissionamentos Geral</v>
          </cell>
          <cell r="D212" t="str">
            <v>40H</v>
          </cell>
          <cell r="E212">
            <v>41091</v>
          </cell>
          <cell r="G212" t="str">
            <v>05</v>
          </cell>
          <cell r="H212" t="str">
            <v>CC03</v>
          </cell>
          <cell r="I212" t="str">
            <v>Básico</v>
          </cell>
          <cell r="J212">
            <v>325.29</v>
          </cell>
          <cell r="K212" t="str">
            <v>Sus</v>
          </cell>
          <cell r="L212">
            <v>8.5</v>
          </cell>
        </row>
        <row r="213">
          <cell r="A213" t="str">
            <v>TV COMISS GERAL 06 40H</v>
          </cell>
          <cell r="B213" t="str">
            <v>TV COMISS GERAL</v>
          </cell>
          <cell r="C213" t="str">
            <v>Tabela de Valores Comissionamentos Geral</v>
          </cell>
          <cell r="D213" t="str">
            <v>40H</v>
          </cell>
          <cell r="E213">
            <v>41091</v>
          </cell>
          <cell r="G213" t="str">
            <v>06</v>
          </cell>
          <cell r="H213" t="str">
            <v>FG03</v>
          </cell>
          <cell r="I213" t="str">
            <v>Básico</v>
          </cell>
          <cell r="J213">
            <v>107.31</v>
          </cell>
          <cell r="K213" t="str">
            <v>Sus</v>
          </cell>
        </row>
        <row r="214">
          <cell r="A214" t="str">
            <v>TV COMISS GERAL 07 40H</v>
          </cell>
          <cell r="B214" t="str">
            <v>TV COMISS GERAL</v>
          </cell>
          <cell r="C214" t="str">
            <v>Tabela de Valores Comissionamentos Geral</v>
          </cell>
          <cell r="D214" t="str">
            <v>40H</v>
          </cell>
          <cell r="E214">
            <v>41091</v>
          </cell>
          <cell r="G214" t="str">
            <v>07</v>
          </cell>
          <cell r="H214" t="str">
            <v>CC04</v>
          </cell>
          <cell r="I214" t="str">
            <v>Básico</v>
          </cell>
          <cell r="J214">
            <v>384.4</v>
          </cell>
          <cell r="K214" t="str">
            <v>Sus</v>
          </cell>
          <cell r="L214">
            <v>10.1</v>
          </cell>
        </row>
        <row r="215">
          <cell r="A215" t="str">
            <v>TV COMISS GERAL 08 40H</v>
          </cell>
          <cell r="B215" t="str">
            <v>TV COMISS GERAL</v>
          </cell>
          <cell r="C215" t="str">
            <v>Tabela de Valores Comissionamentos Geral</v>
          </cell>
          <cell r="D215" t="str">
            <v>40H</v>
          </cell>
          <cell r="E215">
            <v>41091</v>
          </cell>
          <cell r="G215" t="str">
            <v>08</v>
          </cell>
          <cell r="H215" t="str">
            <v>FG04</v>
          </cell>
          <cell r="I215" t="str">
            <v>Básico</v>
          </cell>
          <cell r="J215">
            <v>130.93</v>
          </cell>
          <cell r="K215" t="str">
            <v>Sus</v>
          </cell>
        </row>
        <row r="216">
          <cell r="A216" t="str">
            <v>TV COMISS GERAL 09 40H</v>
          </cell>
          <cell r="B216" t="str">
            <v>TV COMISS GERAL</v>
          </cell>
          <cell r="C216" t="str">
            <v>Tabela de Valores Comissionamentos Geral</v>
          </cell>
          <cell r="D216" t="str">
            <v>40H</v>
          </cell>
          <cell r="E216">
            <v>41091</v>
          </cell>
          <cell r="G216" t="str">
            <v>09</v>
          </cell>
          <cell r="H216" t="str">
            <v>CC05</v>
          </cell>
          <cell r="I216" t="str">
            <v>Básico</v>
          </cell>
          <cell r="J216">
            <v>444.83</v>
          </cell>
          <cell r="K216" t="str">
            <v>Sus</v>
          </cell>
          <cell r="L216">
            <v>10.1</v>
          </cell>
        </row>
        <row r="217">
          <cell r="A217" t="str">
            <v>TV COMISS GERAL 10 40H</v>
          </cell>
          <cell r="B217" t="str">
            <v>TV COMISS GERAL</v>
          </cell>
          <cell r="C217" t="str">
            <v>Tabela de Valores Comissionamentos Geral</v>
          </cell>
          <cell r="D217" t="str">
            <v>40H</v>
          </cell>
          <cell r="E217">
            <v>41091</v>
          </cell>
          <cell r="G217" t="str">
            <v>10</v>
          </cell>
          <cell r="H217" t="str">
            <v>FG05</v>
          </cell>
          <cell r="I217" t="str">
            <v>Básico</v>
          </cell>
          <cell r="J217">
            <v>155.15</v>
          </cell>
          <cell r="K217" t="str">
            <v>Sus</v>
          </cell>
        </row>
        <row r="218">
          <cell r="A218" t="str">
            <v>TV COMISS GERAL 11 40H</v>
          </cell>
          <cell r="B218" t="str">
            <v>TV COMISS GERAL</v>
          </cell>
          <cell r="C218" t="str">
            <v>Tabela de Valores Comissionamentos Geral</v>
          </cell>
          <cell r="D218" t="str">
            <v>40H</v>
          </cell>
          <cell r="E218">
            <v>41091</v>
          </cell>
          <cell r="G218" t="str">
            <v>11</v>
          </cell>
          <cell r="H218" t="str">
            <v>CC06</v>
          </cell>
          <cell r="I218" t="str">
            <v>Básico</v>
          </cell>
          <cell r="J218">
            <v>503.94</v>
          </cell>
          <cell r="K218" t="str">
            <v>Sus</v>
          </cell>
          <cell r="L218">
            <v>11.6</v>
          </cell>
        </row>
        <row r="219">
          <cell r="A219" t="str">
            <v>TV COMISS GERAL 12 40H</v>
          </cell>
          <cell r="B219" t="str">
            <v>TV COMISS GERAL</v>
          </cell>
          <cell r="C219" t="str">
            <v>Tabela de Valores Comissionamentos Geral</v>
          </cell>
          <cell r="D219" t="str">
            <v>40H</v>
          </cell>
          <cell r="E219">
            <v>41091</v>
          </cell>
          <cell r="G219" t="str">
            <v>12</v>
          </cell>
          <cell r="H219" t="str">
            <v>FG06</v>
          </cell>
          <cell r="I219" t="str">
            <v>Básico</v>
          </cell>
          <cell r="J219">
            <v>178.77</v>
          </cell>
          <cell r="K219" t="str">
            <v>Sus</v>
          </cell>
        </row>
        <row r="220">
          <cell r="A220" t="str">
            <v>TV COMISS GERAL 13 40H</v>
          </cell>
          <cell r="B220" t="str">
            <v>TV COMISS GERAL</v>
          </cell>
          <cell r="C220" t="str">
            <v>Tabela de Valores Comissionamentos Geral</v>
          </cell>
          <cell r="D220" t="str">
            <v>40H</v>
          </cell>
          <cell r="E220">
            <v>41091</v>
          </cell>
          <cell r="G220" t="str">
            <v>13</v>
          </cell>
          <cell r="H220" t="str">
            <v>CC07</v>
          </cell>
          <cell r="I220" t="str">
            <v>Básico</v>
          </cell>
          <cell r="J220">
            <v>562.93</v>
          </cell>
          <cell r="K220" t="str">
            <v>Sus</v>
          </cell>
          <cell r="L220">
            <v>11.6</v>
          </cell>
        </row>
        <row r="221">
          <cell r="A221" t="str">
            <v>TV COMISS GERAL 14 40H</v>
          </cell>
          <cell r="B221" t="str">
            <v>TV COMISS GERAL</v>
          </cell>
          <cell r="C221" t="str">
            <v>Tabela de Valores Comissionamentos Geral</v>
          </cell>
          <cell r="D221" t="str">
            <v>40H</v>
          </cell>
          <cell r="E221">
            <v>41091</v>
          </cell>
          <cell r="G221" t="str">
            <v>14</v>
          </cell>
          <cell r="H221" t="str">
            <v>FG07</v>
          </cell>
          <cell r="I221" t="str">
            <v>Básico</v>
          </cell>
          <cell r="J221">
            <v>202.51</v>
          </cell>
          <cell r="K221" t="str">
            <v>Sus</v>
          </cell>
        </row>
        <row r="222">
          <cell r="A222" t="str">
            <v>TV COMISS GERAL 15 40H</v>
          </cell>
          <cell r="B222" t="str">
            <v>TV COMISS GERAL</v>
          </cell>
          <cell r="C222" t="str">
            <v>Tabela de Valores Comissionamentos Geral</v>
          </cell>
          <cell r="D222" t="str">
            <v>40H</v>
          </cell>
          <cell r="E222">
            <v>41091</v>
          </cell>
          <cell r="G222" t="str">
            <v>15</v>
          </cell>
          <cell r="H222" t="str">
            <v>CC08</v>
          </cell>
          <cell r="I222" t="str">
            <v>Básico</v>
          </cell>
          <cell r="J222">
            <v>850.21</v>
          </cell>
          <cell r="K222" t="str">
            <v>Sus</v>
          </cell>
          <cell r="L222">
            <v>13.4</v>
          </cell>
        </row>
        <row r="223">
          <cell r="A223" t="str">
            <v>TV COMISS GERAL 16 40H</v>
          </cell>
          <cell r="B223" t="str">
            <v>TV COMISS GERAL</v>
          </cell>
          <cell r="C223" t="str">
            <v>Tabela de Valores Comissionamentos Geral</v>
          </cell>
          <cell r="D223" t="str">
            <v>40H</v>
          </cell>
          <cell r="E223">
            <v>41091</v>
          </cell>
          <cell r="G223" t="str">
            <v>16</v>
          </cell>
          <cell r="H223" t="str">
            <v>FG08</v>
          </cell>
          <cell r="I223" t="str">
            <v>Básico</v>
          </cell>
          <cell r="J223">
            <v>317.26</v>
          </cell>
          <cell r="K223" t="str">
            <v>Sus</v>
          </cell>
        </row>
        <row r="224">
          <cell r="A224" t="str">
            <v>TV COMISS GERAL 17 40H</v>
          </cell>
          <cell r="B224" t="str">
            <v>TV COMISS GERAL</v>
          </cell>
          <cell r="C224" t="str">
            <v>Tabela de Valores Comissionamentos Geral</v>
          </cell>
          <cell r="D224" t="str">
            <v>40H</v>
          </cell>
          <cell r="E224">
            <v>41091</v>
          </cell>
          <cell r="G224" t="str">
            <v>17</v>
          </cell>
          <cell r="H224" t="str">
            <v>CC09</v>
          </cell>
          <cell r="I224" t="str">
            <v>Básico</v>
          </cell>
          <cell r="J224">
            <v>1090.37</v>
          </cell>
          <cell r="K224" t="str">
            <v>Sus</v>
          </cell>
          <cell r="L224">
            <v>13.4</v>
          </cell>
        </row>
        <row r="225">
          <cell r="A225" t="str">
            <v>TV COMISS GERAL 18 40H</v>
          </cell>
          <cell r="B225" t="str">
            <v>TV COMISS GERAL</v>
          </cell>
          <cell r="C225" t="str">
            <v>Tabela de Valores Comissionamentos Geral</v>
          </cell>
          <cell r="D225" t="str">
            <v>40H</v>
          </cell>
          <cell r="E225">
            <v>41091</v>
          </cell>
          <cell r="G225" t="str">
            <v>18</v>
          </cell>
          <cell r="H225" t="str">
            <v>FG09</v>
          </cell>
          <cell r="I225" t="str">
            <v>Básico</v>
          </cell>
          <cell r="J225">
            <v>436.56</v>
          </cell>
          <cell r="K225" t="str">
            <v>Sus</v>
          </cell>
        </row>
        <row r="226">
          <cell r="A226" t="str">
            <v>TV COMISS GERAL 19 40H</v>
          </cell>
          <cell r="B226" t="str">
            <v>TV COMISS GERAL</v>
          </cell>
          <cell r="C226" t="str">
            <v>Tabela de Valores Comissionamentos Geral</v>
          </cell>
          <cell r="D226" t="str">
            <v>40H</v>
          </cell>
          <cell r="E226">
            <v>41091</v>
          </cell>
          <cell r="G226" t="str">
            <v>19</v>
          </cell>
          <cell r="H226" t="str">
            <v>CC10</v>
          </cell>
          <cell r="I226" t="str">
            <v>Básico</v>
          </cell>
          <cell r="J226">
            <v>1247.56</v>
          </cell>
          <cell r="K226" t="str">
            <v>Sus</v>
          </cell>
          <cell r="L226">
            <v>13.4</v>
          </cell>
        </row>
        <row r="227">
          <cell r="A227" t="str">
            <v>TV COMISS GERAL 20 40H</v>
          </cell>
          <cell r="B227" t="str">
            <v>TV COMISS GERAL</v>
          </cell>
          <cell r="C227" t="str">
            <v>Tabela de Valores Comissionamentos Geral</v>
          </cell>
          <cell r="D227" t="str">
            <v>40H</v>
          </cell>
          <cell r="E227">
            <v>41091</v>
          </cell>
          <cell r="G227" t="str">
            <v>20</v>
          </cell>
          <cell r="H227" t="str">
            <v>FG10</v>
          </cell>
          <cell r="I227" t="str">
            <v>Básico</v>
          </cell>
          <cell r="J227">
            <v>499.14</v>
          </cell>
          <cell r="K227" t="str">
            <v>Sus</v>
          </cell>
        </row>
        <row r="228">
          <cell r="A228" t="str">
            <v>TV COMISS GERAL 21 40H</v>
          </cell>
          <cell r="B228" t="str">
            <v>TV COMISS GERAL</v>
          </cell>
          <cell r="C228" t="str">
            <v>Tabela de Valores Comissionamentos Geral</v>
          </cell>
          <cell r="D228" t="str">
            <v>40H</v>
          </cell>
          <cell r="E228">
            <v>41091</v>
          </cell>
          <cell r="G228" t="str">
            <v>21</v>
          </cell>
          <cell r="H228" t="str">
            <v>CC11</v>
          </cell>
          <cell r="I228" t="str">
            <v>Básico</v>
          </cell>
          <cell r="J228">
            <v>1389.04</v>
          </cell>
          <cell r="K228" t="str">
            <v>Sus</v>
          </cell>
        </row>
        <row r="229">
          <cell r="A229" t="str">
            <v>TV COMISS GERAL 22 40H</v>
          </cell>
          <cell r="B229" t="str">
            <v>TV COMISS GERAL</v>
          </cell>
          <cell r="C229" t="str">
            <v>Tabela de Valores Comissionamentos Geral</v>
          </cell>
          <cell r="D229" t="str">
            <v>40H</v>
          </cell>
          <cell r="E229">
            <v>41091</v>
          </cell>
          <cell r="G229" t="str">
            <v>22</v>
          </cell>
          <cell r="H229" t="str">
            <v>FG11</v>
          </cell>
          <cell r="I229" t="str">
            <v>Básico</v>
          </cell>
          <cell r="J229">
            <v>555.74</v>
          </cell>
          <cell r="K229" t="str">
            <v>Sus</v>
          </cell>
        </row>
        <row r="230">
          <cell r="A230" t="str">
            <v>TV COMISS GERAL 23 40H</v>
          </cell>
          <cell r="B230" t="str">
            <v>TV COMISS GERAL</v>
          </cell>
          <cell r="C230" t="str">
            <v>Tabela de Valores Comissionamentos Geral</v>
          </cell>
          <cell r="D230" t="str">
            <v>40H</v>
          </cell>
          <cell r="E230">
            <v>41091</v>
          </cell>
          <cell r="G230" t="str">
            <v>23</v>
          </cell>
          <cell r="H230" t="str">
            <v>CC12</v>
          </cell>
          <cell r="I230" t="str">
            <v>Básico</v>
          </cell>
          <cell r="J230">
            <v>1771.88</v>
          </cell>
          <cell r="K230" t="str">
            <v>Sus</v>
          </cell>
        </row>
        <row r="231">
          <cell r="A231" t="str">
            <v>TV COMISS GERAL 24 40H</v>
          </cell>
          <cell r="B231" t="str">
            <v>TV COMISS GERAL</v>
          </cell>
          <cell r="C231" t="str">
            <v>Tabela de Valores Comissionamentos Geral</v>
          </cell>
          <cell r="D231" t="str">
            <v>40H</v>
          </cell>
          <cell r="E231">
            <v>41091</v>
          </cell>
          <cell r="G231" t="str">
            <v>24</v>
          </cell>
          <cell r="H231" t="str">
            <v>FG12</v>
          </cell>
          <cell r="I231" t="str">
            <v>Básico</v>
          </cell>
          <cell r="J231">
            <v>708.97</v>
          </cell>
          <cell r="K231" t="str">
            <v>Sus</v>
          </cell>
        </row>
        <row r="232">
          <cell r="A232" t="str">
            <v>TV COMISS GERAL 25 40H</v>
          </cell>
          <cell r="B232" t="str">
            <v>TV COMISS GERAL</v>
          </cell>
          <cell r="C232" t="str">
            <v>Tabela de Valores Comissionamentos Geral</v>
          </cell>
          <cell r="D232" t="str">
            <v>40H</v>
          </cell>
          <cell r="E232">
            <v>41091</v>
          </cell>
          <cell r="G232" t="str">
            <v>25</v>
          </cell>
          <cell r="H232" t="str">
            <v>AS01</v>
          </cell>
          <cell r="I232" t="str">
            <v>Básico</v>
          </cell>
          <cell r="J232">
            <v>499.14</v>
          </cell>
          <cell r="K232" t="str">
            <v>Sus</v>
          </cell>
        </row>
        <row r="233">
          <cell r="A233" t="str">
            <v>TV COMISS GERAL 26 40H</v>
          </cell>
          <cell r="B233" t="str">
            <v>TV COMISS GERAL</v>
          </cell>
          <cell r="C233" t="str">
            <v>Tabela de Valores Comissionamentos Geral</v>
          </cell>
          <cell r="D233" t="str">
            <v>40H</v>
          </cell>
          <cell r="E233">
            <v>41091</v>
          </cell>
          <cell r="G233" t="str">
            <v>26</v>
          </cell>
          <cell r="H233" t="str">
            <v>AS02</v>
          </cell>
          <cell r="I233" t="str">
            <v>Básico</v>
          </cell>
          <cell r="J233">
            <v>998.28</v>
          </cell>
          <cell r="K233" t="str">
            <v>Sus</v>
          </cell>
        </row>
        <row r="234">
          <cell r="A234" t="str">
            <v>TV COMISS GERAL 27 40H</v>
          </cell>
          <cell r="B234" t="str">
            <v>TV COMISS GERAL</v>
          </cell>
          <cell r="C234" t="str">
            <v>Tabela de Valores Comissionamentos Geral</v>
          </cell>
          <cell r="D234" t="str">
            <v>40H</v>
          </cell>
          <cell r="E234">
            <v>41091</v>
          </cell>
          <cell r="G234" t="str">
            <v>27</v>
          </cell>
          <cell r="H234" t="str">
            <v>AS03</v>
          </cell>
          <cell r="I234" t="str">
            <v>Básico</v>
          </cell>
          <cell r="J234">
            <v>1497.42</v>
          </cell>
          <cell r="K234" t="str">
            <v>Sus</v>
          </cell>
        </row>
        <row r="235">
          <cell r="A235" t="str">
            <v>TV COMISS GERAL 28 40H</v>
          </cell>
          <cell r="B235" t="str">
            <v>TV COMISS GERAL</v>
          </cell>
          <cell r="C235" t="str">
            <v>Tabela de Valores Comissionamentos Geral</v>
          </cell>
          <cell r="D235" t="str">
            <v>40H</v>
          </cell>
          <cell r="E235">
            <v>41091</v>
          </cell>
          <cell r="G235" t="str">
            <v>28</v>
          </cell>
          <cell r="H235" t="str">
            <v>AS04</v>
          </cell>
          <cell r="I235" t="str">
            <v>Básico</v>
          </cell>
          <cell r="J235">
            <v>1996.56</v>
          </cell>
          <cell r="K235" t="str">
            <v>Sus</v>
          </cell>
        </row>
        <row r="236">
          <cell r="A236" t="str">
            <v>TV COMISS GERAL 29 40H</v>
          </cell>
          <cell r="B236" t="str">
            <v>TV COMISS GERAL</v>
          </cell>
          <cell r="C236" t="str">
            <v>Tabela de Valores Comissionamentos Geral</v>
          </cell>
          <cell r="D236" t="str">
            <v>40H</v>
          </cell>
          <cell r="E236">
            <v>41091</v>
          </cell>
          <cell r="G236" t="str">
            <v>29</v>
          </cell>
          <cell r="H236" t="str">
            <v>AS05</v>
          </cell>
          <cell r="I236" t="str">
            <v>Básico</v>
          </cell>
          <cell r="J236">
            <v>2495.7</v>
          </cell>
          <cell r="K236" t="str">
            <v>Sus</v>
          </cell>
        </row>
        <row r="237">
          <cell r="A237" t="str">
            <v>TV COMISS GERAL 30 40H</v>
          </cell>
          <cell r="B237" t="str">
            <v>TV COMISS GERAL</v>
          </cell>
          <cell r="C237" t="str">
            <v>Tabela de Valores Comissionamentos Geral</v>
          </cell>
          <cell r="D237" t="str">
            <v>40H</v>
          </cell>
          <cell r="E237">
            <v>41091</v>
          </cell>
          <cell r="G237" t="str">
            <v>30</v>
          </cell>
          <cell r="H237" t="str">
            <v>AS06</v>
          </cell>
          <cell r="I237" t="str">
            <v>Básico</v>
          </cell>
          <cell r="J237">
            <v>2994.84</v>
          </cell>
          <cell r="K237" t="str">
            <v>Sus</v>
          </cell>
        </row>
        <row r="238">
          <cell r="A238" t="str">
            <v>TV COMISS GERAL 31 40H</v>
          </cell>
          <cell r="B238" t="str">
            <v>TV COMISS GERAL</v>
          </cell>
          <cell r="C238" t="str">
            <v>Tabela de Valores Comissionamentos Geral</v>
          </cell>
          <cell r="D238" t="str">
            <v>40H</v>
          </cell>
          <cell r="E238">
            <v>41091</v>
          </cell>
          <cell r="G238" t="str">
            <v>31</v>
          </cell>
          <cell r="H238" t="str">
            <v>CCA</v>
          </cell>
          <cell r="I238" t="str">
            <v>Básico</v>
          </cell>
          <cell r="J238">
            <v>2054.37</v>
          </cell>
          <cell r="K238" t="str">
            <v>Sus</v>
          </cell>
        </row>
        <row r="239">
          <cell r="A239" t="str">
            <v>TV COMISS GERAL 32 40H</v>
          </cell>
          <cell r="B239" t="str">
            <v>TV COMISS GERAL</v>
          </cell>
          <cell r="C239" t="str">
            <v>Tabela de Valores Comissionamentos Geral</v>
          </cell>
          <cell r="D239" t="str">
            <v>40H</v>
          </cell>
          <cell r="E239">
            <v>41091</v>
          </cell>
          <cell r="G239" t="str">
            <v>32</v>
          </cell>
          <cell r="H239" t="str">
            <v>FGA</v>
          </cell>
          <cell r="I239" t="str">
            <v>Básico</v>
          </cell>
          <cell r="J239">
            <v>821.32</v>
          </cell>
          <cell r="K239" t="str">
            <v>Sus</v>
          </cell>
        </row>
        <row r="240">
          <cell r="A240" t="str">
            <v>TV COMISS GERAL 33 40H</v>
          </cell>
          <cell r="B240" t="str">
            <v>TV COMISS GERAL</v>
          </cell>
          <cell r="C240" t="str">
            <v>Tabela de Valores Comissionamentos Geral</v>
          </cell>
          <cell r="D240" t="str">
            <v>40H</v>
          </cell>
          <cell r="E240">
            <v>41091</v>
          </cell>
          <cell r="G240" t="str">
            <v>33</v>
          </cell>
          <cell r="H240" t="str">
            <v>CC10 - Residente</v>
          </cell>
          <cell r="I240" t="str">
            <v>Básico</v>
          </cell>
          <cell r="J240">
            <v>499.14</v>
          </cell>
          <cell r="K240" t="str">
            <v>Sus</v>
          </cell>
        </row>
        <row r="241">
          <cell r="A241" t="str">
            <v>TV COMISS GERAL 34 40H</v>
          </cell>
          <cell r="B241" t="str">
            <v>TV COMISS GERAL</v>
          </cell>
          <cell r="C241" t="str">
            <v>Tabela de Valores Comissionamentos Geral</v>
          </cell>
          <cell r="D241" t="str">
            <v>40H</v>
          </cell>
          <cell r="E241">
            <v>41091</v>
          </cell>
          <cell r="G241" t="str">
            <v>34</v>
          </cell>
          <cell r="H241" t="str">
            <v>FG10 - Residente</v>
          </cell>
          <cell r="I241" t="str">
            <v>Básico</v>
          </cell>
          <cell r="J241">
            <v>499.14</v>
          </cell>
          <cell r="K241" t="str">
            <v>Sus</v>
          </cell>
        </row>
        <row r="242">
          <cell r="A242" t="str">
            <v>TV COMISS IPERGS 01 40H</v>
          </cell>
          <cell r="B242" t="str">
            <v>TV COMISS IPERGS</v>
          </cell>
          <cell r="C242" t="str">
            <v>Tabela de Valores Funções Gratificadas do IPERGS</v>
          </cell>
          <cell r="D242" t="str">
            <v>40H</v>
          </cell>
          <cell r="E242">
            <v>40238</v>
          </cell>
          <cell r="G242" t="str">
            <v>01</v>
          </cell>
          <cell r="H242" t="str">
            <v>CC I</v>
          </cell>
          <cell r="I242" t="str">
            <v>Básico</v>
          </cell>
          <cell r="J242">
            <v>266.06</v>
          </cell>
        </row>
        <row r="243">
          <cell r="A243" t="str">
            <v>TV COMISS IPERGS 02 40H</v>
          </cell>
          <cell r="B243" t="str">
            <v>TV COMISS IPERGS</v>
          </cell>
          <cell r="C243" t="str">
            <v>Tabela de Valores Funções Gratificadas do IPERGS</v>
          </cell>
          <cell r="D243" t="str">
            <v>40H</v>
          </cell>
          <cell r="E243">
            <v>40238</v>
          </cell>
          <cell r="G243" t="str">
            <v>02</v>
          </cell>
          <cell r="H243" t="str">
            <v>FG I</v>
          </cell>
          <cell r="I243" t="str">
            <v>Básico</v>
          </cell>
          <cell r="J243">
            <v>83.69</v>
          </cell>
        </row>
        <row r="244">
          <cell r="A244" t="str">
            <v>TV COMISS IPERGS 03 40H</v>
          </cell>
          <cell r="B244" t="str">
            <v>TV COMISS IPERGS</v>
          </cell>
          <cell r="C244" t="str">
            <v>Tabela de Valores Funções Gratificadas do IPERGS</v>
          </cell>
          <cell r="D244" t="str">
            <v>40H</v>
          </cell>
          <cell r="E244">
            <v>40238</v>
          </cell>
          <cell r="G244" t="str">
            <v>03</v>
          </cell>
          <cell r="H244" t="str">
            <v>CC II</v>
          </cell>
          <cell r="I244" t="str">
            <v>Básico</v>
          </cell>
          <cell r="J244">
            <v>444.83</v>
          </cell>
        </row>
        <row r="245">
          <cell r="A245" t="str">
            <v>TV COMISS IPERGS 04 40H</v>
          </cell>
          <cell r="B245" t="str">
            <v>TV COMISS IPERGS</v>
          </cell>
          <cell r="C245" t="str">
            <v>Tabela de Valores Funções Gratificadas do IPERGS</v>
          </cell>
          <cell r="D245" t="str">
            <v>40H</v>
          </cell>
          <cell r="E245">
            <v>40238</v>
          </cell>
          <cell r="G245" t="str">
            <v>04</v>
          </cell>
          <cell r="H245" t="str">
            <v>FG II</v>
          </cell>
          <cell r="I245" t="str">
            <v>Básico</v>
          </cell>
          <cell r="J245">
            <v>155.15</v>
          </cell>
        </row>
        <row r="246">
          <cell r="A246" t="str">
            <v>TV COMISS IPERGS 05 40H</v>
          </cell>
          <cell r="B246" t="str">
            <v>TV COMISS IPERGS</v>
          </cell>
          <cell r="C246" t="str">
            <v>Tabela de Valores Funções Gratificadas do IPERGS</v>
          </cell>
          <cell r="D246" t="str">
            <v>40H</v>
          </cell>
          <cell r="E246">
            <v>40238</v>
          </cell>
          <cell r="G246" t="str">
            <v>05</v>
          </cell>
          <cell r="H246" t="str">
            <v>CC III</v>
          </cell>
          <cell r="I246" t="str">
            <v>Básico</v>
          </cell>
          <cell r="J246">
            <v>503.94</v>
          </cell>
        </row>
        <row r="247">
          <cell r="A247" t="str">
            <v>TV COMISS IPERGS 06 40H</v>
          </cell>
          <cell r="B247" t="str">
            <v>TV COMISS IPERGS</v>
          </cell>
          <cell r="C247" t="str">
            <v>Tabela de Valores Funções Gratificadas do IPERGS</v>
          </cell>
          <cell r="D247" t="str">
            <v>40H</v>
          </cell>
          <cell r="E247">
            <v>40238</v>
          </cell>
          <cell r="G247" t="str">
            <v>06</v>
          </cell>
          <cell r="H247" t="str">
            <v>FG III</v>
          </cell>
          <cell r="I247" t="str">
            <v>Básico</v>
          </cell>
          <cell r="J247">
            <v>178.77</v>
          </cell>
        </row>
        <row r="248">
          <cell r="A248" t="str">
            <v>TV COMISS IPERGS 07 40H</v>
          </cell>
          <cell r="B248" t="str">
            <v>TV COMISS IPERGS</v>
          </cell>
          <cell r="C248" t="str">
            <v>Tabela de Valores Funções Gratificadas do IPERGS</v>
          </cell>
          <cell r="D248" t="str">
            <v>40H</v>
          </cell>
          <cell r="E248">
            <v>40238</v>
          </cell>
          <cell r="G248" t="str">
            <v>07</v>
          </cell>
          <cell r="H248" t="str">
            <v>CC IV</v>
          </cell>
          <cell r="I248" t="str">
            <v>Básico</v>
          </cell>
          <cell r="J248">
            <v>562.93</v>
          </cell>
        </row>
        <row r="249">
          <cell r="A249" t="str">
            <v>TV COMISS IPERGS 08 40H</v>
          </cell>
          <cell r="B249" t="str">
            <v>TV COMISS IPERGS</v>
          </cell>
          <cell r="C249" t="str">
            <v>Tabela de Valores Funções Gratificadas do IPERGS</v>
          </cell>
          <cell r="D249" t="str">
            <v>40H</v>
          </cell>
          <cell r="E249">
            <v>40238</v>
          </cell>
          <cell r="G249" t="str">
            <v>08</v>
          </cell>
          <cell r="H249" t="str">
            <v>FG IV</v>
          </cell>
          <cell r="I249" t="str">
            <v>Básico</v>
          </cell>
          <cell r="J249">
            <v>202.51</v>
          </cell>
        </row>
        <row r="250">
          <cell r="A250" t="str">
            <v>TV COMISS IPERGS 09 40H</v>
          </cell>
          <cell r="B250" t="str">
            <v>TV COMISS IPERGS</v>
          </cell>
          <cell r="C250" t="str">
            <v>Tabela de Valores Funções Gratificadas do IPERGS</v>
          </cell>
          <cell r="D250" t="str">
            <v>40H</v>
          </cell>
          <cell r="E250">
            <v>40238</v>
          </cell>
          <cell r="G250" t="str">
            <v>09</v>
          </cell>
          <cell r="H250" t="str">
            <v>CC V</v>
          </cell>
          <cell r="I250" t="str">
            <v>Básico</v>
          </cell>
          <cell r="J250">
            <v>850.21</v>
          </cell>
        </row>
        <row r="251">
          <cell r="A251" t="str">
            <v>TV COMISS IPERGS 10 40H</v>
          </cell>
          <cell r="B251" t="str">
            <v>TV COMISS IPERGS</v>
          </cell>
          <cell r="C251" t="str">
            <v>Tabela de Valores Funções Gratificadas do IPERGS</v>
          </cell>
          <cell r="D251" t="str">
            <v>40H</v>
          </cell>
          <cell r="E251">
            <v>40238</v>
          </cell>
          <cell r="G251" t="str">
            <v>10</v>
          </cell>
          <cell r="H251" t="str">
            <v>FG V</v>
          </cell>
          <cell r="I251" t="str">
            <v>Básico</v>
          </cell>
          <cell r="J251">
            <v>317.26</v>
          </cell>
        </row>
        <row r="252">
          <cell r="A252" t="str">
            <v>TV COMISS IPERGS 11 40H</v>
          </cell>
          <cell r="B252" t="str">
            <v>TV COMISS IPERGS</v>
          </cell>
          <cell r="C252" t="str">
            <v>Tabela de Valores Funções Gratificadas do IPERGS</v>
          </cell>
          <cell r="D252" t="str">
            <v>40H</v>
          </cell>
          <cell r="E252">
            <v>40238</v>
          </cell>
          <cell r="G252" t="str">
            <v>11</v>
          </cell>
          <cell r="H252" t="str">
            <v>CC VI</v>
          </cell>
          <cell r="I252" t="str">
            <v>Básico</v>
          </cell>
          <cell r="J252">
            <v>1090.37</v>
          </cell>
        </row>
        <row r="253">
          <cell r="A253" t="str">
            <v>TV COMISS IPERGS 12 40H</v>
          </cell>
          <cell r="B253" t="str">
            <v>TV COMISS IPERGS</v>
          </cell>
          <cell r="C253" t="str">
            <v>Tabela de Valores Funções Gratificadas do IPERGS</v>
          </cell>
          <cell r="D253" t="str">
            <v>40H</v>
          </cell>
          <cell r="E253">
            <v>40238</v>
          </cell>
          <cell r="G253" t="str">
            <v>12</v>
          </cell>
          <cell r="H253" t="str">
            <v>FG VI</v>
          </cell>
          <cell r="I253" t="str">
            <v>Básico</v>
          </cell>
          <cell r="J253">
            <v>436.56</v>
          </cell>
        </row>
        <row r="254">
          <cell r="A254" t="str">
            <v>TV COMISS IPERGS 13 40H</v>
          </cell>
          <cell r="B254" t="str">
            <v>TV COMISS IPERGS</v>
          </cell>
          <cell r="C254" t="str">
            <v>Tabela de Valores Funções Gratificadas do IPERGS</v>
          </cell>
          <cell r="D254" t="str">
            <v>40H</v>
          </cell>
          <cell r="E254">
            <v>40238</v>
          </cell>
          <cell r="G254" t="str">
            <v>13</v>
          </cell>
          <cell r="H254" t="str">
            <v>CC VII</v>
          </cell>
          <cell r="I254" t="str">
            <v>Básico</v>
          </cell>
          <cell r="J254">
            <v>1247.56</v>
          </cell>
        </row>
        <row r="255">
          <cell r="A255" t="str">
            <v>TV COMISS IPERGS 14 40H</v>
          </cell>
          <cell r="B255" t="str">
            <v>TV COMISS IPERGS</v>
          </cell>
          <cell r="C255" t="str">
            <v>Tabela de Valores Funções Gratificadas do IPERGS</v>
          </cell>
          <cell r="D255" t="str">
            <v>40H</v>
          </cell>
          <cell r="E255">
            <v>40238</v>
          </cell>
          <cell r="G255" t="str">
            <v>14</v>
          </cell>
          <cell r="H255" t="str">
            <v>FG VII</v>
          </cell>
          <cell r="I255" t="str">
            <v>Básico</v>
          </cell>
          <cell r="J255">
            <v>499.14</v>
          </cell>
        </row>
        <row r="256">
          <cell r="A256" t="str">
            <v>TV COMISS IPERGS 15 40H</v>
          </cell>
          <cell r="B256" t="str">
            <v>TV COMISS IPERGS</v>
          </cell>
          <cell r="C256" t="str">
            <v>Tabela de Valores Funções Gratificadas do IPERGS</v>
          </cell>
          <cell r="D256" t="str">
            <v>40H</v>
          </cell>
          <cell r="E256">
            <v>40238</v>
          </cell>
          <cell r="G256" t="str">
            <v>15</v>
          </cell>
          <cell r="H256" t="str">
            <v>AS 01</v>
          </cell>
          <cell r="I256" t="str">
            <v>Básico</v>
          </cell>
          <cell r="J256">
            <v>499.14</v>
          </cell>
        </row>
        <row r="257">
          <cell r="A257" t="str">
            <v>TV COMISS IPERGS 16 40H</v>
          </cell>
          <cell r="B257" t="str">
            <v>TV COMISS IPERGS</v>
          </cell>
          <cell r="C257" t="str">
            <v>Tabela de Valores Funções Gratificadas do IPERGS</v>
          </cell>
          <cell r="D257" t="str">
            <v>40H</v>
          </cell>
          <cell r="E257">
            <v>40238</v>
          </cell>
          <cell r="G257" t="str">
            <v>16</v>
          </cell>
          <cell r="H257" t="str">
            <v>AS 02</v>
          </cell>
          <cell r="I257" t="str">
            <v>Básico</v>
          </cell>
          <cell r="J257">
            <v>998.28</v>
          </cell>
        </row>
        <row r="258">
          <cell r="A258" t="str">
            <v>TV COMISS IPERGS 17 40H</v>
          </cell>
          <cell r="B258" t="str">
            <v>TV COMISS IPERGS</v>
          </cell>
          <cell r="C258" t="str">
            <v>Tabela de Valores Funções Gratificadas do IPERGS</v>
          </cell>
          <cell r="D258" t="str">
            <v>40H</v>
          </cell>
          <cell r="E258">
            <v>40238</v>
          </cell>
          <cell r="G258" t="str">
            <v>17</v>
          </cell>
          <cell r="H258" t="str">
            <v>AS 03</v>
          </cell>
          <cell r="I258" t="str">
            <v>Básico</v>
          </cell>
          <cell r="J258">
            <v>1497.42</v>
          </cell>
        </row>
        <row r="259">
          <cell r="A259" t="str">
            <v>TV COMISS IPERGS 18 40H</v>
          </cell>
          <cell r="B259" t="str">
            <v>TV COMISS IPERGS</v>
          </cell>
          <cell r="C259" t="str">
            <v>Tabela de Valores Funções Gratificadas do IPERGS</v>
          </cell>
          <cell r="D259" t="str">
            <v>40H</v>
          </cell>
          <cell r="E259">
            <v>40238</v>
          </cell>
          <cell r="G259" t="str">
            <v>18</v>
          </cell>
          <cell r="H259" t="str">
            <v>AS 04</v>
          </cell>
          <cell r="I259" t="str">
            <v>Básico</v>
          </cell>
          <cell r="J259">
            <v>1996.56</v>
          </cell>
        </row>
        <row r="260">
          <cell r="A260" t="str">
            <v>TV COMISS IPERGS 19 40H</v>
          </cell>
          <cell r="B260" t="str">
            <v>TV COMISS IPERGS</v>
          </cell>
          <cell r="C260" t="str">
            <v>Tabela de Valores Funções Gratificadas do IPERGS</v>
          </cell>
          <cell r="D260" t="str">
            <v>40H</v>
          </cell>
          <cell r="E260">
            <v>40238</v>
          </cell>
          <cell r="G260" t="str">
            <v>19</v>
          </cell>
          <cell r="H260" t="str">
            <v>AS 05</v>
          </cell>
          <cell r="I260" t="str">
            <v>Básico</v>
          </cell>
          <cell r="J260">
            <v>2495.7</v>
          </cell>
        </row>
        <row r="261">
          <cell r="A261" t="str">
            <v>TV COMISS IPERGS 20 40H</v>
          </cell>
          <cell r="B261" t="str">
            <v>TV COMISS IPERGS</v>
          </cell>
          <cell r="C261" t="str">
            <v>Tabela de Valores Funções Gratificadas do IPERGS</v>
          </cell>
          <cell r="D261" t="str">
            <v>40H</v>
          </cell>
          <cell r="E261">
            <v>40238</v>
          </cell>
          <cell r="G261" t="str">
            <v>20</v>
          </cell>
          <cell r="H261" t="str">
            <v>AS 06</v>
          </cell>
          <cell r="I261" t="str">
            <v>Básico</v>
          </cell>
          <cell r="J261">
            <v>2994.84</v>
          </cell>
        </row>
        <row r="262">
          <cell r="A262" t="str">
            <v>TV COMISS JUIZ INF 01 40H</v>
          </cell>
          <cell r="B262" t="str">
            <v>TV COMISS JUIZ INF</v>
          </cell>
          <cell r="C262" t="str">
            <v>Tabela de Valores Funções Gratificadas Juiz. de Menores</v>
          </cell>
          <cell r="D262" t="str">
            <v>40H</v>
          </cell>
          <cell r="E262">
            <v>41548</v>
          </cell>
          <cell r="G262" t="str">
            <v>01</v>
          </cell>
          <cell r="H262" t="str">
            <v>FGVM03</v>
          </cell>
          <cell r="I262" t="str">
            <v>Básico</v>
          </cell>
          <cell r="J262">
            <v>308.1</v>
          </cell>
        </row>
        <row r="263">
          <cell r="A263" t="str">
            <v>TV COMISS JUIZ INF 02 40H</v>
          </cell>
          <cell r="B263" t="str">
            <v>TV COMISS JUIZ INF</v>
          </cell>
          <cell r="C263" t="str">
            <v>Tabela de Valores Funções Gratificadas Juiz. de Menores</v>
          </cell>
          <cell r="D263" t="str">
            <v>40H</v>
          </cell>
          <cell r="E263">
            <v>41548</v>
          </cell>
          <cell r="G263" t="str">
            <v>02</v>
          </cell>
          <cell r="H263" t="str">
            <v>FGVM06</v>
          </cell>
          <cell r="I263" t="str">
            <v>Básico</v>
          </cell>
          <cell r="J263">
            <v>495.25</v>
          </cell>
        </row>
        <row r="264">
          <cell r="A264" t="str">
            <v>TV COMISS JUIZ INF 03 40H</v>
          </cell>
          <cell r="B264" t="str">
            <v>TV COMISS JUIZ INF</v>
          </cell>
          <cell r="C264" t="str">
            <v>Tabela de Valores Funções Gratificadas Juiz. de Menores</v>
          </cell>
          <cell r="D264" t="str">
            <v>40H</v>
          </cell>
          <cell r="E264">
            <v>41548</v>
          </cell>
          <cell r="G264" t="str">
            <v>03</v>
          </cell>
          <cell r="H264" t="str">
            <v>FGVM08</v>
          </cell>
          <cell r="I264" t="str">
            <v>Básico</v>
          </cell>
          <cell r="J264">
            <v>819.74</v>
          </cell>
        </row>
        <row r="265">
          <cell r="A265" t="str">
            <v>TV COMISS JUIZ INF 04 40H</v>
          </cell>
          <cell r="B265" t="str">
            <v>TV COMISS JUIZ INF</v>
          </cell>
          <cell r="C265" t="str">
            <v>Tabela de Valores Funções Gratificadas Juiz. de Menores</v>
          </cell>
          <cell r="D265" t="str">
            <v>40H</v>
          </cell>
          <cell r="E265">
            <v>41548</v>
          </cell>
          <cell r="G265" t="str">
            <v>04</v>
          </cell>
          <cell r="H265" t="str">
            <v>FGVM09</v>
          </cell>
          <cell r="I265" t="str">
            <v>Básico</v>
          </cell>
          <cell r="J265">
            <v>902.33</v>
          </cell>
        </row>
        <row r="266">
          <cell r="A266" t="str">
            <v>TV COMISS JUIZ INF 05 40H</v>
          </cell>
          <cell r="B266" t="str">
            <v>TV COMISS JUIZ INF</v>
          </cell>
          <cell r="C266" t="str">
            <v>Tabela de Valores Funções Gratificadas Juiz. de Menores</v>
          </cell>
          <cell r="D266" t="str">
            <v>40H</v>
          </cell>
          <cell r="E266">
            <v>41548</v>
          </cell>
          <cell r="G266" t="str">
            <v>05</v>
          </cell>
          <cell r="H266" t="str">
            <v>FGVM11</v>
          </cell>
          <cell r="I266" t="str">
            <v>Básico</v>
          </cell>
          <cell r="J266">
            <v>1215.82</v>
          </cell>
        </row>
        <row r="267">
          <cell r="A267" t="str">
            <v>TV COMISS JUST MIL 01 40H</v>
          </cell>
          <cell r="B267" t="str">
            <v>TV COMISS JUST MIL</v>
          </cell>
          <cell r="C267" t="str">
            <v>Tabela de Valores Funções Gratificadas da Just. Militar</v>
          </cell>
          <cell r="D267" t="str">
            <v>40H</v>
          </cell>
          <cell r="E267">
            <v>41548</v>
          </cell>
          <cell r="G267" t="str">
            <v>01</v>
          </cell>
          <cell r="H267" t="str">
            <v>CCJM06</v>
          </cell>
          <cell r="I267" t="str">
            <v>Básico</v>
          </cell>
          <cell r="J267">
            <v>1171.91</v>
          </cell>
        </row>
        <row r="268">
          <cell r="A268" t="str">
            <v>TV COMISS JUST MIL 02 40H</v>
          </cell>
          <cell r="B268" t="str">
            <v>TV COMISS JUST MIL</v>
          </cell>
          <cell r="C268" t="str">
            <v>Tabela de Valores Funções Gratificadas da Just. Militar</v>
          </cell>
          <cell r="D268" t="str">
            <v>40H</v>
          </cell>
          <cell r="E268">
            <v>41548</v>
          </cell>
          <cell r="G268" t="str">
            <v>02</v>
          </cell>
          <cell r="H268" t="str">
            <v>FGJM06</v>
          </cell>
          <cell r="I268" t="str">
            <v>Básico</v>
          </cell>
          <cell r="J268">
            <v>588.81</v>
          </cell>
        </row>
        <row r="269">
          <cell r="A269" t="str">
            <v>TV COMISS JUST MIL 03 40H</v>
          </cell>
          <cell r="B269" t="str">
            <v>TV COMISS JUST MIL</v>
          </cell>
          <cell r="C269" t="str">
            <v>Tabela de Valores Funções Gratificadas da Just. Militar</v>
          </cell>
          <cell r="D269" t="str">
            <v>40H</v>
          </cell>
          <cell r="E269">
            <v>41548</v>
          </cell>
          <cell r="G269" t="str">
            <v>03</v>
          </cell>
          <cell r="H269" t="str">
            <v>CCJM08</v>
          </cell>
          <cell r="I269" t="str">
            <v>Básico</v>
          </cell>
          <cell r="J269">
            <v>1947.57</v>
          </cell>
        </row>
        <row r="270">
          <cell r="A270" t="str">
            <v>TV COMISS JUST MIL 04 40H</v>
          </cell>
          <cell r="B270" t="str">
            <v>TV COMISS JUST MIL</v>
          </cell>
          <cell r="C270" t="str">
            <v>Tabela de Valores Funções Gratificadas da Just. Militar</v>
          </cell>
          <cell r="D270" t="str">
            <v>40H</v>
          </cell>
          <cell r="E270">
            <v>41548</v>
          </cell>
          <cell r="G270" t="str">
            <v>04</v>
          </cell>
          <cell r="H270" t="str">
            <v>FGJM08</v>
          </cell>
          <cell r="I270" t="str">
            <v>Básico</v>
          </cell>
          <cell r="J270">
            <v>979.33</v>
          </cell>
        </row>
        <row r="271">
          <cell r="A271" t="str">
            <v>TV COMISS JUST MIL 05 40H</v>
          </cell>
          <cell r="B271" t="str">
            <v>TV COMISS JUST MIL</v>
          </cell>
          <cell r="C271" t="str">
            <v>Tabela de Valores Funções Gratificadas da Just. Militar</v>
          </cell>
          <cell r="D271" t="str">
            <v>40H</v>
          </cell>
          <cell r="E271">
            <v>41548</v>
          </cell>
          <cell r="G271" t="str">
            <v>05</v>
          </cell>
          <cell r="H271" t="str">
            <v>CCJM09</v>
          </cell>
          <cell r="I271" t="str">
            <v>Básico</v>
          </cell>
          <cell r="J271">
            <v>0</v>
          </cell>
        </row>
        <row r="272">
          <cell r="A272" t="str">
            <v>TV COMISS JUST MIL 06 40H</v>
          </cell>
          <cell r="B272" t="str">
            <v>TV COMISS JUST MIL</v>
          </cell>
          <cell r="C272" t="str">
            <v>Tabela de Valores Funções Gratificadas da Just. Militar</v>
          </cell>
          <cell r="D272" t="str">
            <v>40H</v>
          </cell>
          <cell r="E272">
            <v>41548</v>
          </cell>
          <cell r="G272" t="str">
            <v>06</v>
          </cell>
          <cell r="H272" t="str">
            <v>FGJM09</v>
          </cell>
          <cell r="I272" t="str">
            <v>Básico</v>
          </cell>
          <cell r="J272">
            <v>1080.03</v>
          </cell>
        </row>
        <row r="273">
          <cell r="A273" t="str">
            <v>TV COMISS JUST MIL 07 40H</v>
          </cell>
          <cell r="B273" t="str">
            <v>TV COMISS JUST MIL</v>
          </cell>
          <cell r="C273" t="str">
            <v>Tabela de Valores Funções Gratificadas da Just. Militar</v>
          </cell>
          <cell r="D273" t="str">
            <v>40H</v>
          </cell>
          <cell r="E273">
            <v>41548</v>
          </cell>
          <cell r="G273" t="str">
            <v>07</v>
          </cell>
          <cell r="H273" t="str">
            <v>CCJM10</v>
          </cell>
          <cell r="I273" t="str">
            <v>Básico</v>
          </cell>
          <cell r="J273">
            <v>2640.79</v>
          </cell>
        </row>
        <row r="274">
          <cell r="A274" t="str">
            <v>TV COMISS JUST MIL 08 40H</v>
          </cell>
          <cell r="B274" t="str">
            <v>TV COMISS JUST MIL</v>
          </cell>
          <cell r="C274" t="str">
            <v>Tabela de Valores Funções Gratificadas da Just. Militar</v>
          </cell>
          <cell r="D274" t="str">
            <v>40H</v>
          </cell>
          <cell r="E274">
            <v>41548</v>
          </cell>
          <cell r="G274" t="str">
            <v>08</v>
          </cell>
          <cell r="H274" t="str">
            <v>FGJM10</v>
          </cell>
          <cell r="I274" t="str">
            <v>Básico</v>
          </cell>
          <cell r="J274">
            <v>1325.96</v>
          </cell>
        </row>
        <row r="275">
          <cell r="A275" t="str">
            <v>TV COMISS JUST MIL 09 40H</v>
          </cell>
          <cell r="B275" t="str">
            <v>TV COMISS JUST MIL</v>
          </cell>
          <cell r="C275" t="str">
            <v>Tabela de Valores Funções Gratificadas da Just. Militar</v>
          </cell>
          <cell r="D275" t="str">
            <v>40H</v>
          </cell>
          <cell r="E275">
            <v>41548</v>
          </cell>
          <cell r="G275" t="str">
            <v>09</v>
          </cell>
          <cell r="H275" t="str">
            <v>CCJM11</v>
          </cell>
          <cell r="I275" t="str">
            <v>Básico</v>
          </cell>
          <cell r="J275">
            <v>2882.84</v>
          </cell>
        </row>
        <row r="276">
          <cell r="A276" t="str">
            <v>TV COMISS JUST MIL 10 40H</v>
          </cell>
          <cell r="B276" t="str">
            <v>TV COMISS JUST MIL</v>
          </cell>
          <cell r="C276" t="str">
            <v>Tabela de Valores Funções Gratificadas da Just. Militar</v>
          </cell>
          <cell r="D276" t="str">
            <v>40H</v>
          </cell>
          <cell r="E276">
            <v>41548</v>
          </cell>
          <cell r="G276" t="str">
            <v>10</v>
          </cell>
          <cell r="H276" t="str">
            <v>FGJM11</v>
          </cell>
          <cell r="I276" t="str">
            <v>Básico</v>
          </cell>
          <cell r="J276">
            <v>1447.07</v>
          </cell>
        </row>
        <row r="277">
          <cell r="A277" t="str">
            <v>TV COMISS JUST MIL 11 40H</v>
          </cell>
          <cell r="B277" t="str">
            <v>TV COMISS JUST MIL</v>
          </cell>
          <cell r="C277" t="str">
            <v>Tabela de Valores Funções Gratificadas da Just. Militar</v>
          </cell>
          <cell r="D277" t="str">
            <v>40H</v>
          </cell>
          <cell r="E277">
            <v>41548</v>
          </cell>
          <cell r="G277" t="str">
            <v>11</v>
          </cell>
          <cell r="H277" t="str">
            <v>CCJM12</v>
          </cell>
          <cell r="I277" t="str">
            <v>Básico</v>
          </cell>
          <cell r="J277">
            <v>3301.04</v>
          </cell>
        </row>
        <row r="278">
          <cell r="A278" t="str">
            <v>TV COMISS JUST MIL 12 40H</v>
          </cell>
          <cell r="B278" t="str">
            <v>TV COMISS JUST MIL</v>
          </cell>
          <cell r="C278" t="str">
            <v>Tabela de Valores Funções Gratificadas da Just. Militar</v>
          </cell>
          <cell r="D278" t="str">
            <v>40H</v>
          </cell>
          <cell r="E278">
            <v>41548</v>
          </cell>
          <cell r="G278" t="str">
            <v>12</v>
          </cell>
          <cell r="H278" t="str">
            <v>FGJM12</v>
          </cell>
          <cell r="I278" t="str">
            <v>Básico</v>
          </cell>
          <cell r="J278">
            <v>1645.03</v>
          </cell>
        </row>
        <row r="279">
          <cell r="A279" t="str">
            <v>TV COMISS PC/BM 01 40H</v>
          </cell>
          <cell r="B279" t="str">
            <v>TV COMISS PC/BM</v>
          </cell>
          <cell r="C279" t="str">
            <v>Tabela de Valores Comissionamentos PC e BM</v>
          </cell>
          <cell r="D279" t="str">
            <v>40H</v>
          </cell>
          <cell r="E279">
            <v>41091</v>
          </cell>
          <cell r="G279" t="str">
            <v>01</v>
          </cell>
          <cell r="H279" t="str">
            <v>FG01</v>
          </cell>
          <cell r="I279" t="str">
            <v>Básico</v>
          </cell>
          <cell r="J279">
            <v>54.91</v>
          </cell>
        </row>
        <row r="280">
          <cell r="A280" t="str">
            <v>TV COMISS PC/BM 02 40H</v>
          </cell>
          <cell r="B280" t="str">
            <v>TV COMISS PC/BM</v>
          </cell>
          <cell r="C280" t="str">
            <v>Tabela de Valores Comissionamentos PC e BM</v>
          </cell>
          <cell r="D280" t="str">
            <v>40H</v>
          </cell>
          <cell r="E280">
            <v>41091</v>
          </cell>
          <cell r="G280" t="str">
            <v>02</v>
          </cell>
          <cell r="H280" t="str">
            <v>FG02</v>
          </cell>
          <cell r="I280" t="str">
            <v>Básico</v>
          </cell>
          <cell r="J280">
            <v>76.62</v>
          </cell>
        </row>
        <row r="281">
          <cell r="A281" t="str">
            <v>TV COMISS PC/BM 03 40H</v>
          </cell>
          <cell r="B281" t="str">
            <v>TV COMISS PC/BM</v>
          </cell>
          <cell r="C281" t="str">
            <v>Tabela de Valores Comissionamentos PC e BM</v>
          </cell>
          <cell r="D281" t="str">
            <v>40H</v>
          </cell>
          <cell r="E281">
            <v>41091</v>
          </cell>
          <cell r="G281" t="str">
            <v>03</v>
          </cell>
          <cell r="H281" t="str">
            <v>FG03</v>
          </cell>
          <cell r="I281" t="str">
            <v>Básico</v>
          </cell>
          <cell r="J281">
            <v>101.56</v>
          </cell>
        </row>
        <row r="282">
          <cell r="A282" t="str">
            <v>TV COMISS PC/BM 04 40H</v>
          </cell>
          <cell r="B282" t="str">
            <v>TV COMISS PC/BM</v>
          </cell>
          <cell r="C282" t="str">
            <v>Tabela de Valores Comissionamentos PC e BM</v>
          </cell>
          <cell r="D282" t="str">
            <v>40H</v>
          </cell>
          <cell r="E282">
            <v>41091</v>
          </cell>
          <cell r="G282" t="str">
            <v>04</v>
          </cell>
          <cell r="H282" t="str">
            <v>FG04</v>
          </cell>
          <cell r="I282" t="str">
            <v>Básico</v>
          </cell>
          <cell r="J282">
            <v>120.26</v>
          </cell>
        </row>
        <row r="283">
          <cell r="A283" t="str">
            <v>TV COMISS PC/BM 05 40H</v>
          </cell>
          <cell r="B283" t="str">
            <v>TV COMISS PC/BM</v>
          </cell>
          <cell r="C283" t="str">
            <v>Tabela de Valores Comissionamentos PC e BM</v>
          </cell>
          <cell r="D283" t="str">
            <v>40H</v>
          </cell>
          <cell r="E283">
            <v>41091</v>
          </cell>
          <cell r="G283" t="str">
            <v>05</v>
          </cell>
          <cell r="H283" t="str">
            <v>FG05</v>
          </cell>
          <cell r="I283" t="str">
            <v>Básico</v>
          </cell>
          <cell r="J283">
            <v>142.08</v>
          </cell>
        </row>
        <row r="284">
          <cell r="A284" t="str">
            <v>TV COMISS PC/BM 06 40H</v>
          </cell>
          <cell r="B284" t="str">
            <v>TV COMISS PC/BM</v>
          </cell>
          <cell r="C284" t="str">
            <v>Tabela de Valores Comissionamentos PC e BM</v>
          </cell>
          <cell r="D284" t="str">
            <v>40H</v>
          </cell>
          <cell r="E284">
            <v>41091</v>
          </cell>
          <cell r="G284" t="str">
            <v>06</v>
          </cell>
          <cell r="H284" t="str">
            <v>FG06</v>
          </cell>
          <cell r="I284" t="str">
            <v>Básico</v>
          </cell>
          <cell r="J284">
            <v>163.78</v>
          </cell>
        </row>
        <row r="285">
          <cell r="A285" t="str">
            <v>TV COMISS PC/BM 07 40H</v>
          </cell>
          <cell r="B285" t="str">
            <v>TV COMISS PC/BM</v>
          </cell>
          <cell r="C285" t="str">
            <v>Tabela de Valores Comissionamentos PC e BM</v>
          </cell>
          <cell r="D285" t="str">
            <v>40H</v>
          </cell>
          <cell r="E285">
            <v>41091</v>
          </cell>
          <cell r="G285" t="str">
            <v>07</v>
          </cell>
          <cell r="H285" t="str">
            <v>FG07</v>
          </cell>
          <cell r="I285" t="str">
            <v>Básico</v>
          </cell>
          <cell r="J285">
            <v>185.73</v>
          </cell>
        </row>
        <row r="286">
          <cell r="A286" t="str">
            <v>TV COMISS PC/BM 08 40H</v>
          </cell>
          <cell r="B286" t="str">
            <v>TV COMISS PC/BM</v>
          </cell>
          <cell r="C286" t="str">
            <v>Tabela de Valores Comissionamentos PC e BM</v>
          </cell>
          <cell r="D286" t="str">
            <v>40H</v>
          </cell>
          <cell r="E286">
            <v>41091</v>
          </cell>
          <cell r="G286" t="str">
            <v>08</v>
          </cell>
          <cell r="H286" t="str">
            <v>FG08</v>
          </cell>
          <cell r="I286" t="str">
            <v>Básico</v>
          </cell>
          <cell r="J286">
            <v>207.55</v>
          </cell>
        </row>
        <row r="287">
          <cell r="A287" t="str">
            <v>TV COMISS PC/BM 09 40H</v>
          </cell>
          <cell r="B287" t="str">
            <v>TV COMISS PC/BM</v>
          </cell>
          <cell r="C287" t="str">
            <v>Tabela de Valores Comissionamentos PC e BM</v>
          </cell>
          <cell r="D287" t="str">
            <v>40H</v>
          </cell>
          <cell r="E287">
            <v>41091</v>
          </cell>
          <cell r="G287" t="str">
            <v>09</v>
          </cell>
          <cell r="H287" t="str">
            <v>FG09</v>
          </cell>
          <cell r="I287" t="str">
            <v>Básico</v>
          </cell>
          <cell r="J287">
            <v>275.65</v>
          </cell>
        </row>
        <row r="288">
          <cell r="A288" t="str">
            <v>TV COMISS PC/BM 10 40H</v>
          </cell>
          <cell r="B288" t="str">
            <v>TV COMISS PC/BM</v>
          </cell>
          <cell r="C288" t="str">
            <v>Tabela de Valores Comissionamentos PC e BM</v>
          </cell>
          <cell r="D288" t="str">
            <v>40H</v>
          </cell>
          <cell r="E288">
            <v>41091</v>
          </cell>
          <cell r="G288" t="str">
            <v>10</v>
          </cell>
          <cell r="H288" t="str">
            <v>FG10</v>
          </cell>
          <cell r="I288" t="str">
            <v>Básico</v>
          </cell>
          <cell r="J288">
            <v>301.19</v>
          </cell>
        </row>
        <row r="289">
          <cell r="A289" t="str">
            <v>TV COMISS PC/BM 11 40H</v>
          </cell>
          <cell r="B289" t="str">
            <v>TV COMISS PC/BM</v>
          </cell>
          <cell r="C289" t="str">
            <v>Tabela de Valores Comissionamentos PC e BM</v>
          </cell>
          <cell r="D289" t="str">
            <v>40H</v>
          </cell>
          <cell r="E289">
            <v>41091</v>
          </cell>
          <cell r="G289" t="str">
            <v>11</v>
          </cell>
          <cell r="H289" t="str">
            <v>CC11 - Comiss Geral</v>
          </cell>
          <cell r="I289" t="str">
            <v>Básico</v>
          </cell>
          <cell r="J289">
            <v>1389.04</v>
          </cell>
        </row>
        <row r="290">
          <cell r="A290" t="str">
            <v>TV COMISS PC/BM 12 40H</v>
          </cell>
          <cell r="B290" t="str">
            <v>TV COMISS PC/BM</v>
          </cell>
          <cell r="C290" t="str">
            <v>Tabela de Valores Comissionamentos PC e BM</v>
          </cell>
          <cell r="D290" t="str">
            <v>40H</v>
          </cell>
          <cell r="E290">
            <v>41091</v>
          </cell>
          <cell r="G290" t="str">
            <v>12</v>
          </cell>
          <cell r="H290" t="str">
            <v>FG11</v>
          </cell>
          <cell r="I290" t="str">
            <v>Básico</v>
          </cell>
          <cell r="J290">
            <v>329.61</v>
          </cell>
        </row>
        <row r="291">
          <cell r="A291" t="str">
            <v>TV COMISS PC/BM 13 40H</v>
          </cell>
          <cell r="B291" t="str">
            <v>TV COMISS PC/BM</v>
          </cell>
          <cell r="C291" t="str">
            <v>Tabela de Valores Comissionamentos PC e BM</v>
          </cell>
          <cell r="D291" t="str">
            <v>40H</v>
          </cell>
          <cell r="E291">
            <v>41091</v>
          </cell>
          <cell r="G291" t="str">
            <v>13</v>
          </cell>
          <cell r="H291" t="str">
            <v>CC12 - Comiss Geral</v>
          </cell>
          <cell r="I291" t="str">
            <v>Básico</v>
          </cell>
          <cell r="J291">
            <v>1771.88</v>
          </cell>
        </row>
        <row r="292">
          <cell r="A292" t="str">
            <v>TV COMISS PC/BM 14 40H</v>
          </cell>
          <cell r="B292" t="str">
            <v>TV COMISS PC/BM</v>
          </cell>
          <cell r="C292" t="str">
            <v>Tabela de Valores Comissionamentos PC e BM</v>
          </cell>
          <cell r="D292" t="str">
            <v>40H</v>
          </cell>
          <cell r="E292">
            <v>41091</v>
          </cell>
          <cell r="G292" t="str">
            <v>14</v>
          </cell>
          <cell r="H292" t="str">
            <v>FG12</v>
          </cell>
          <cell r="I292" t="str">
            <v>Básico</v>
          </cell>
          <cell r="J292">
            <v>351.55</v>
          </cell>
        </row>
        <row r="293">
          <cell r="A293" t="str">
            <v>TV COMISS PGE/DP 01 30H</v>
          </cell>
          <cell r="B293" t="str">
            <v>TV COMISS PGE/DP</v>
          </cell>
          <cell r="C293" t="str">
            <v>Tabela de Valores Comissionamentos PGE</v>
          </cell>
          <cell r="D293" t="str">
            <v>30H</v>
          </cell>
          <cell r="E293">
            <v>41091</v>
          </cell>
          <cell r="G293" t="str">
            <v>01</v>
          </cell>
          <cell r="H293" t="str">
            <v>CC01</v>
          </cell>
          <cell r="I293" t="str">
            <v>Básico</v>
          </cell>
          <cell r="J293">
            <v>225.53</v>
          </cell>
        </row>
        <row r="294">
          <cell r="A294" t="str">
            <v>TV COMISS PGE/DP 02 30H</v>
          </cell>
          <cell r="B294" t="str">
            <v>TV COMISS PGE/DP</v>
          </cell>
          <cell r="C294" t="str">
            <v>Tabela de Valores Comissionamentos PGE</v>
          </cell>
          <cell r="D294" t="str">
            <v>30H</v>
          </cell>
          <cell r="E294">
            <v>41091</v>
          </cell>
          <cell r="G294" t="str">
            <v>02</v>
          </cell>
          <cell r="H294" t="str">
            <v>FG01</v>
          </cell>
          <cell r="I294" t="str">
            <v>Básico</v>
          </cell>
          <cell r="J294">
            <v>73.02</v>
          </cell>
        </row>
        <row r="295">
          <cell r="A295" t="str">
            <v>TV COMISS PGE/DP 03 30H</v>
          </cell>
          <cell r="B295" t="str">
            <v>TV COMISS PGE/DP</v>
          </cell>
          <cell r="C295" t="str">
            <v>Tabela de Valores Comissionamentos PGE</v>
          </cell>
          <cell r="D295" t="str">
            <v>30H</v>
          </cell>
          <cell r="E295">
            <v>41091</v>
          </cell>
          <cell r="G295" t="str">
            <v>03</v>
          </cell>
          <cell r="H295" t="str">
            <v>CC02</v>
          </cell>
          <cell r="I295" t="str">
            <v>Básico</v>
          </cell>
          <cell r="J295">
            <v>262.04</v>
          </cell>
        </row>
        <row r="296">
          <cell r="A296" t="str">
            <v>TV COMISS PGE/DP 04 30H</v>
          </cell>
          <cell r="B296" t="str">
            <v>TV COMISS PGE/DP</v>
          </cell>
          <cell r="C296" t="str">
            <v>Tabela de Valores Comissionamentos PGE</v>
          </cell>
          <cell r="D296" t="str">
            <v>30H</v>
          </cell>
          <cell r="E296">
            <v>41091</v>
          </cell>
          <cell r="G296" t="str">
            <v>04</v>
          </cell>
          <cell r="H296" t="str">
            <v>FG02</v>
          </cell>
          <cell r="I296" t="str">
            <v>Básico</v>
          </cell>
          <cell r="J296">
            <v>87.77</v>
          </cell>
        </row>
        <row r="297">
          <cell r="A297" t="str">
            <v>TV COMISS PGE/DP 05 30H</v>
          </cell>
          <cell r="B297" t="str">
            <v>TV COMISS PGE/DP</v>
          </cell>
          <cell r="C297" t="str">
            <v>Tabela de Valores Comissionamentos PGE</v>
          </cell>
          <cell r="D297" t="str">
            <v>30H</v>
          </cell>
          <cell r="E297">
            <v>41091</v>
          </cell>
          <cell r="G297" t="str">
            <v>05</v>
          </cell>
          <cell r="H297" t="str">
            <v>CC03</v>
          </cell>
          <cell r="I297" t="str">
            <v>Básico</v>
          </cell>
          <cell r="J297">
            <v>324.18</v>
          </cell>
        </row>
        <row r="298">
          <cell r="A298" t="str">
            <v>TV COMISS PGE/DP 06 30H</v>
          </cell>
          <cell r="B298" t="str">
            <v>TV COMISS PGE/DP</v>
          </cell>
          <cell r="C298" t="str">
            <v>Tabela de Valores Comissionamentos PGE</v>
          </cell>
          <cell r="D298" t="str">
            <v>30H</v>
          </cell>
          <cell r="E298">
            <v>41091</v>
          </cell>
          <cell r="G298" t="str">
            <v>06</v>
          </cell>
          <cell r="H298" t="str">
            <v>FG03</v>
          </cell>
          <cell r="I298" t="str">
            <v>Básico</v>
          </cell>
          <cell r="J298">
            <v>112.58</v>
          </cell>
        </row>
        <row r="299">
          <cell r="A299" t="str">
            <v>TV COMISS PGE/DP 07 30H</v>
          </cell>
          <cell r="B299" t="str">
            <v>TV COMISS PGE/DP</v>
          </cell>
          <cell r="C299" t="str">
            <v>Tabela de Valores Comissionamentos PGE</v>
          </cell>
          <cell r="D299" t="str">
            <v>30H</v>
          </cell>
          <cell r="E299">
            <v>41091</v>
          </cell>
          <cell r="G299" t="str">
            <v>07</v>
          </cell>
          <cell r="H299" t="str">
            <v>CC04</v>
          </cell>
          <cell r="I299" t="str">
            <v>Básico</v>
          </cell>
          <cell r="J299">
            <v>386.14</v>
          </cell>
        </row>
        <row r="300">
          <cell r="A300" t="str">
            <v>TV COMISS PGE/DP 08 30H</v>
          </cell>
          <cell r="B300" t="str">
            <v>TV COMISS PGE/DP</v>
          </cell>
          <cell r="C300" t="str">
            <v>Tabela de Valores Comissionamentos PGE</v>
          </cell>
          <cell r="D300" t="str">
            <v>30H</v>
          </cell>
          <cell r="E300">
            <v>41091</v>
          </cell>
          <cell r="G300" t="str">
            <v>08</v>
          </cell>
          <cell r="H300" t="str">
            <v>FG04</v>
          </cell>
          <cell r="I300" t="str">
            <v>Básico</v>
          </cell>
          <cell r="J300">
            <v>137.32</v>
          </cell>
        </row>
        <row r="301">
          <cell r="A301" t="str">
            <v>TV COMISS PGE/DP 09 30H</v>
          </cell>
          <cell r="B301" t="str">
            <v>TV COMISS PGE/DP</v>
          </cell>
          <cell r="C301" t="str">
            <v>Tabela de Valores Comissionamentos PGE</v>
          </cell>
          <cell r="D301" t="str">
            <v>30H</v>
          </cell>
          <cell r="E301">
            <v>41091</v>
          </cell>
          <cell r="G301" t="str">
            <v>09</v>
          </cell>
          <cell r="H301" t="str">
            <v>CC05</v>
          </cell>
          <cell r="I301" t="str">
            <v>Básico</v>
          </cell>
          <cell r="J301">
            <v>449.81</v>
          </cell>
        </row>
        <row r="302">
          <cell r="A302" t="str">
            <v>TV COMISS PGE/DP 10 30H</v>
          </cell>
          <cell r="B302" t="str">
            <v>TV COMISS PGE/DP</v>
          </cell>
          <cell r="C302" t="str">
            <v>Tabela de Valores Comissionamentos PGE</v>
          </cell>
          <cell r="D302" t="str">
            <v>30H</v>
          </cell>
          <cell r="E302">
            <v>41091</v>
          </cell>
          <cell r="G302" t="str">
            <v>10</v>
          </cell>
          <cell r="H302" t="str">
            <v>FG05</v>
          </cell>
          <cell r="I302" t="str">
            <v>Básico</v>
          </cell>
          <cell r="J302">
            <v>162.77</v>
          </cell>
        </row>
        <row r="303">
          <cell r="A303" t="str">
            <v>TV COMISS PGE/DP 11 30H</v>
          </cell>
          <cell r="B303" t="str">
            <v>TV COMISS PGE/DP</v>
          </cell>
          <cell r="C303" t="str">
            <v>Tabela de Valores Comissionamentos PGE</v>
          </cell>
          <cell r="D303" t="str">
            <v>30H</v>
          </cell>
          <cell r="E303">
            <v>41091</v>
          </cell>
          <cell r="G303" t="str">
            <v>11</v>
          </cell>
          <cell r="H303" t="str">
            <v>CC06</v>
          </cell>
          <cell r="I303" t="str">
            <v>Básico</v>
          </cell>
          <cell r="J303">
            <v>511.85</v>
          </cell>
        </row>
        <row r="304">
          <cell r="A304" t="str">
            <v>TV COMISS PGE/DP 12 30H</v>
          </cell>
          <cell r="B304" t="str">
            <v>TV COMISS PGE/DP</v>
          </cell>
          <cell r="C304" t="str">
            <v>Tabela de Valores Comissionamentos PGE</v>
          </cell>
          <cell r="D304" t="str">
            <v>30H</v>
          </cell>
          <cell r="E304">
            <v>41091</v>
          </cell>
          <cell r="G304" t="str">
            <v>12</v>
          </cell>
          <cell r="H304" t="str">
            <v>FG06</v>
          </cell>
          <cell r="I304" t="str">
            <v>Básico</v>
          </cell>
          <cell r="J304">
            <v>187.58</v>
          </cell>
        </row>
        <row r="305">
          <cell r="A305" t="str">
            <v>TV COMISS PGE/DP 13 30H</v>
          </cell>
          <cell r="B305" t="str">
            <v>TV COMISS PGE/DP</v>
          </cell>
          <cell r="C305" t="str">
            <v>Tabela de Valores Comissionamentos PGE</v>
          </cell>
          <cell r="D305" t="str">
            <v>30H</v>
          </cell>
          <cell r="E305">
            <v>41091</v>
          </cell>
          <cell r="G305" t="str">
            <v>13</v>
          </cell>
          <cell r="H305" t="str">
            <v>CC07</v>
          </cell>
          <cell r="I305" t="str">
            <v>Básico</v>
          </cell>
          <cell r="J305">
            <v>573.63</v>
          </cell>
        </row>
        <row r="306">
          <cell r="A306" t="str">
            <v>TV COMISS PGE/DP 14 30H</v>
          </cell>
          <cell r="B306" t="str">
            <v>TV COMISS PGE/DP</v>
          </cell>
          <cell r="C306" t="str">
            <v>Tabela de Valores Comissionamentos PGE</v>
          </cell>
          <cell r="D306" t="str">
            <v>30H</v>
          </cell>
          <cell r="E306">
            <v>41091</v>
          </cell>
          <cell r="G306" t="str">
            <v>14</v>
          </cell>
          <cell r="H306" t="str">
            <v>FG07</v>
          </cell>
          <cell r="I306" t="str">
            <v>Básico</v>
          </cell>
          <cell r="J306">
            <v>212.4</v>
          </cell>
        </row>
        <row r="307">
          <cell r="A307" t="str">
            <v>TV COMISS PGE/DP 15 30H</v>
          </cell>
          <cell r="B307" t="str">
            <v>TV COMISS PGE/DP</v>
          </cell>
          <cell r="C307" t="str">
            <v>Tabela de Valores Comissionamentos PGE</v>
          </cell>
          <cell r="D307" t="str">
            <v>30H</v>
          </cell>
          <cell r="E307">
            <v>41091</v>
          </cell>
          <cell r="G307" t="str">
            <v>15</v>
          </cell>
          <cell r="H307" t="str">
            <v>CC08</v>
          </cell>
          <cell r="I307" t="str">
            <v>Básico</v>
          </cell>
          <cell r="J307">
            <v>875.15</v>
          </cell>
        </row>
        <row r="308">
          <cell r="A308" t="str">
            <v>TV COMISS PGE/DP 16 30H</v>
          </cell>
          <cell r="B308" t="str">
            <v>TV COMISS PGE/DP</v>
          </cell>
          <cell r="C308" t="str">
            <v>Tabela de Valores Comissionamentos PGE</v>
          </cell>
          <cell r="D308" t="str">
            <v>30H</v>
          </cell>
          <cell r="E308">
            <v>41091</v>
          </cell>
          <cell r="G308" t="str">
            <v>16</v>
          </cell>
          <cell r="H308" t="str">
            <v>FG08</v>
          </cell>
          <cell r="I308" t="str">
            <v>Básico</v>
          </cell>
          <cell r="J308">
            <v>332.9</v>
          </cell>
        </row>
        <row r="309">
          <cell r="A309" t="str">
            <v>TV COMISS PGE/DP 17 30H</v>
          </cell>
          <cell r="B309" t="str">
            <v>TV COMISS PGE/DP</v>
          </cell>
          <cell r="C309" t="str">
            <v>Tabela de Valores Comissionamentos PGE</v>
          </cell>
          <cell r="D309" t="str">
            <v>30H</v>
          </cell>
          <cell r="E309">
            <v>41091</v>
          </cell>
          <cell r="G309" t="str">
            <v>17</v>
          </cell>
          <cell r="H309" t="str">
            <v>CC09</v>
          </cell>
          <cell r="I309" t="str">
            <v>Básico</v>
          </cell>
          <cell r="J309">
            <v>1144.84</v>
          </cell>
        </row>
        <row r="310">
          <cell r="A310" t="str">
            <v>TV COMISS PGE/DP 18 30H</v>
          </cell>
          <cell r="B310" t="str">
            <v>TV COMISS PGE/DP</v>
          </cell>
          <cell r="C310" t="str">
            <v>Tabela de Valores Comissionamentos PGE</v>
          </cell>
          <cell r="D310" t="str">
            <v>30H</v>
          </cell>
          <cell r="E310">
            <v>41091</v>
          </cell>
          <cell r="G310" t="str">
            <v>18</v>
          </cell>
          <cell r="H310" t="str">
            <v>FG09</v>
          </cell>
          <cell r="I310" t="str">
            <v>Básico</v>
          </cell>
          <cell r="J310">
            <v>458.17</v>
          </cell>
        </row>
        <row r="311">
          <cell r="A311" t="str">
            <v>TV COMISS PGE/DP 19 30H</v>
          </cell>
          <cell r="B311" t="str">
            <v>TV COMISS PGE/DP</v>
          </cell>
          <cell r="C311" t="str">
            <v>Tabela de Valores Comissionamentos PGE</v>
          </cell>
          <cell r="D311" t="str">
            <v>30H</v>
          </cell>
          <cell r="E311">
            <v>41091</v>
          </cell>
          <cell r="G311" t="str">
            <v>19</v>
          </cell>
          <cell r="H311" t="str">
            <v>CC10</v>
          </cell>
          <cell r="I311" t="str">
            <v>Básico</v>
          </cell>
          <cell r="J311">
            <v>1309.76</v>
          </cell>
        </row>
        <row r="312">
          <cell r="A312" t="str">
            <v>TV COMISS PGE/DP 20 30H</v>
          </cell>
          <cell r="B312" t="str">
            <v>TV COMISS PGE/DP</v>
          </cell>
          <cell r="C312" t="str">
            <v>Tabela de Valores Comissionamentos PGE</v>
          </cell>
          <cell r="D312" t="str">
            <v>30H</v>
          </cell>
          <cell r="E312">
            <v>41091</v>
          </cell>
          <cell r="G312" t="str">
            <v>20</v>
          </cell>
          <cell r="H312" t="str">
            <v>FG10</v>
          </cell>
          <cell r="I312" t="str">
            <v>Básico</v>
          </cell>
          <cell r="J312">
            <v>524.09</v>
          </cell>
        </row>
        <row r="313">
          <cell r="A313" t="str">
            <v>TV COMISS PGE/DP 21 30H</v>
          </cell>
          <cell r="B313" t="str">
            <v>TV COMISS PGE/DP</v>
          </cell>
          <cell r="C313" t="str">
            <v>Tabela de Valores Comissionamentos PGE</v>
          </cell>
          <cell r="D313" t="str">
            <v>30H</v>
          </cell>
          <cell r="E313">
            <v>41091</v>
          </cell>
          <cell r="G313" t="str">
            <v>21</v>
          </cell>
          <cell r="H313" t="str">
            <v>CC11</v>
          </cell>
          <cell r="I313" t="str">
            <v>Básico</v>
          </cell>
          <cell r="J313">
            <v>1458.41</v>
          </cell>
        </row>
        <row r="314">
          <cell r="A314" t="str">
            <v>TV COMISS PGE/DP 22 30H</v>
          </cell>
          <cell r="B314" t="str">
            <v>TV COMISS PGE/DP</v>
          </cell>
          <cell r="C314" t="str">
            <v>Tabela de Valores Comissionamentos PGE</v>
          </cell>
          <cell r="D314" t="str">
            <v>30H</v>
          </cell>
          <cell r="E314">
            <v>41091</v>
          </cell>
          <cell r="G314" t="str">
            <v>22</v>
          </cell>
          <cell r="H314" t="str">
            <v>FG11</v>
          </cell>
          <cell r="I314" t="str">
            <v>Básico</v>
          </cell>
          <cell r="J314">
            <v>583.25</v>
          </cell>
        </row>
        <row r="315">
          <cell r="A315" t="str">
            <v>TV COMISS PGE/DP 23 30H</v>
          </cell>
          <cell r="B315" t="str">
            <v>TV COMISS PGE/DP</v>
          </cell>
          <cell r="C315" t="str">
            <v>Tabela de Valores Comissionamentos PGE</v>
          </cell>
          <cell r="D315" t="str">
            <v>30H</v>
          </cell>
          <cell r="E315">
            <v>41091</v>
          </cell>
          <cell r="G315" t="str">
            <v>23</v>
          </cell>
          <cell r="H315" t="str">
            <v>CC12</v>
          </cell>
          <cell r="I315" t="str">
            <v>Básico</v>
          </cell>
          <cell r="J315">
            <v>1860.28</v>
          </cell>
        </row>
        <row r="316">
          <cell r="A316" t="str">
            <v>TV COMISS PGE/DP 24 30H</v>
          </cell>
          <cell r="B316" t="str">
            <v>TV COMISS PGE/DP</v>
          </cell>
          <cell r="C316" t="str">
            <v>Tabela de Valores Comissionamentos PGE</v>
          </cell>
          <cell r="D316" t="str">
            <v>30H</v>
          </cell>
          <cell r="E316">
            <v>41091</v>
          </cell>
          <cell r="G316" t="str">
            <v>24</v>
          </cell>
          <cell r="H316" t="str">
            <v>FG12</v>
          </cell>
          <cell r="I316" t="str">
            <v>Básico</v>
          </cell>
          <cell r="J316">
            <v>744.4</v>
          </cell>
        </row>
        <row r="317">
          <cell r="A317" t="str">
            <v>TV COMISS PGE/DP 01 40H</v>
          </cell>
          <cell r="B317" t="str">
            <v>TV COMISS PGE/DP</v>
          </cell>
          <cell r="C317" t="str">
            <v>Tabela de Valores Comissionamentos PGE</v>
          </cell>
          <cell r="D317" t="str">
            <v>40H</v>
          </cell>
          <cell r="E317">
            <v>41091</v>
          </cell>
          <cell r="G317" t="str">
            <v>01</v>
          </cell>
          <cell r="H317" t="str">
            <v>CC01</v>
          </cell>
          <cell r="I317" t="str">
            <v>Básico</v>
          </cell>
          <cell r="J317">
            <v>300.71</v>
          </cell>
        </row>
        <row r="318">
          <cell r="A318" t="str">
            <v>TV COMISS PGE/DP 02 40H</v>
          </cell>
          <cell r="B318" t="str">
            <v>TV COMISS PGE/DP</v>
          </cell>
          <cell r="C318" t="str">
            <v>Tabela de Valores Comissionamentos PGE</v>
          </cell>
          <cell r="D318" t="str">
            <v>40H</v>
          </cell>
          <cell r="E318">
            <v>41091</v>
          </cell>
          <cell r="G318" t="str">
            <v>02</v>
          </cell>
          <cell r="H318" t="str">
            <v>FG01</v>
          </cell>
          <cell r="I318" t="str">
            <v>Básico</v>
          </cell>
          <cell r="J318">
            <v>97.36</v>
          </cell>
        </row>
        <row r="319">
          <cell r="A319" t="str">
            <v>TV COMISS PGE/DP 03 40H</v>
          </cell>
          <cell r="B319" t="str">
            <v>TV COMISS PGE/DP</v>
          </cell>
          <cell r="C319" t="str">
            <v>Tabela de Valores Comissionamentos PGE</v>
          </cell>
          <cell r="D319" t="str">
            <v>40H</v>
          </cell>
          <cell r="E319">
            <v>41091</v>
          </cell>
          <cell r="G319" t="str">
            <v>03</v>
          </cell>
          <cell r="H319" t="str">
            <v>CC02</v>
          </cell>
          <cell r="I319" t="str">
            <v>Básico</v>
          </cell>
          <cell r="J319">
            <v>349.39</v>
          </cell>
        </row>
        <row r="320">
          <cell r="A320" t="str">
            <v>TV COMISS PGE/DP 04 40H</v>
          </cell>
          <cell r="B320" t="str">
            <v>TV COMISS PGE/DP</v>
          </cell>
          <cell r="C320" t="str">
            <v>Tabela de Valores Comissionamentos PGE</v>
          </cell>
          <cell r="D320" t="str">
            <v>40H</v>
          </cell>
          <cell r="E320">
            <v>41091</v>
          </cell>
          <cell r="G320" t="str">
            <v>04</v>
          </cell>
          <cell r="H320" t="str">
            <v>FG02</v>
          </cell>
          <cell r="I320" t="str">
            <v>Básico</v>
          </cell>
          <cell r="J320">
            <v>117.02</v>
          </cell>
        </row>
        <row r="321">
          <cell r="A321" t="str">
            <v>TV COMISS PGE/DP 05 40H</v>
          </cell>
          <cell r="B321" t="str">
            <v>TV COMISS PGE/DP</v>
          </cell>
          <cell r="C321" t="str">
            <v>Tabela de Valores Comissionamentos PGE</v>
          </cell>
          <cell r="D321" t="str">
            <v>40H</v>
          </cell>
          <cell r="E321">
            <v>41091</v>
          </cell>
          <cell r="G321" t="str">
            <v>05</v>
          </cell>
          <cell r="H321" t="str">
            <v>CC03</v>
          </cell>
          <cell r="I321" t="str">
            <v>Básico</v>
          </cell>
          <cell r="J321">
            <v>432.24</v>
          </cell>
        </row>
        <row r="322">
          <cell r="A322" t="str">
            <v>TV COMISS PGE/DP 06 40H</v>
          </cell>
          <cell r="B322" t="str">
            <v>TV COMISS PGE/DP</v>
          </cell>
          <cell r="C322" t="str">
            <v>Tabela de Valores Comissionamentos PGE</v>
          </cell>
          <cell r="D322" t="str">
            <v>40H</v>
          </cell>
          <cell r="E322">
            <v>41091</v>
          </cell>
          <cell r="G322" t="str">
            <v>06</v>
          </cell>
          <cell r="H322" t="str">
            <v>FG03</v>
          </cell>
          <cell r="I322" t="str">
            <v>Básico</v>
          </cell>
          <cell r="J322">
            <v>150.11</v>
          </cell>
        </row>
        <row r="323">
          <cell r="A323" t="str">
            <v>TV COMISS PGE/DP 07 40H</v>
          </cell>
          <cell r="B323" t="str">
            <v>TV COMISS PGE/DP</v>
          </cell>
          <cell r="C323" t="str">
            <v>Tabela de Valores Comissionamentos PGE</v>
          </cell>
          <cell r="D323" t="str">
            <v>40H</v>
          </cell>
          <cell r="E323">
            <v>41091</v>
          </cell>
          <cell r="G323" t="str">
            <v>07</v>
          </cell>
          <cell r="H323" t="str">
            <v>CC04</v>
          </cell>
          <cell r="I323" t="str">
            <v>Básico</v>
          </cell>
          <cell r="J323">
            <v>514.85</v>
          </cell>
        </row>
        <row r="324">
          <cell r="A324" t="str">
            <v>TV COMISS PGE/DP 08 40H</v>
          </cell>
          <cell r="B324" t="str">
            <v>TV COMISS PGE/DP</v>
          </cell>
          <cell r="C324" t="str">
            <v>Tabela de Valores Comissionamentos PGE</v>
          </cell>
          <cell r="D324" t="str">
            <v>40H</v>
          </cell>
          <cell r="E324">
            <v>41091</v>
          </cell>
          <cell r="G324" t="str">
            <v>08</v>
          </cell>
          <cell r="H324" t="str">
            <v>FG04</v>
          </cell>
          <cell r="I324" t="str">
            <v>Básico</v>
          </cell>
          <cell r="J324">
            <v>183.09</v>
          </cell>
        </row>
        <row r="325">
          <cell r="A325" t="str">
            <v>TV COMISS PGE/DP 09 40H</v>
          </cell>
          <cell r="B325" t="str">
            <v>TV COMISS PGE/DP</v>
          </cell>
          <cell r="C325" t="str">
            <v>Tabela de Valores Comissionamentos PGE</v>
          </cell>
          <cell r="D325" t="str">
            <v>40H</v>
          </cell>
          <cell r="E325">
            <v>41091</v>
          </cell>
          <cell r="G325" t="str">
            <v>09</v>
          </cell>
          <cell r="H325" t="str">
            <v>CC05</v>
          </cell>
          <cell r="I325" t="str">
            <v>Básico</v>
          </cell>
          <cell r="J325">
            <v>599.74</v>
          </cell>
        </row>
        <row r="326">
          <cell r="A326" t="str">
            <v>TV COMISS PGE/DP 10 40H</v>
          </cell>
          <cell r="B326" t="str">
            <v>TV COMISS PGE/DP</v>
          </cell>
          <cell r="C326" t="str">
            <v>Tabela de Valores Comissionamentos PGE</v>
          </cell>
          <cell r="D326" t="str">
            <v>40H</v>
          </cell>
          <cell r="E326">
            <v>41091</v>
          </cell>
          <cell r="G326" t="str">
            <v>10</v>
          </cell>
          <cell r="H326" t="str">
            <v>FG05</v>
          </cell>
          <cell r="I326" t="str">
            <v>Básico</v>
          </cell>
          <cell r="J326">
            <v>217.02</v>
          </cell>
        </row>
        <row r="327">
          <cell r="A327" t="str">
            <v>TV COMISS PGE/DP 11 40H</v>
          </cell>
          <cell r="B327" t="str">
            <v>TV COMISS PGE/DP</v>
          </cell>
          <cell r="C327" t="str">
            <v>Tabela de Valores Comissionamentos PGE</v>
          </cell>
          <cell r="D327" t="str">
            <v>40H</v>
          </cell>
          <cell r="E327">
            <v>41091</v>
          </cell>
          <cell r="G327" t="str">
            <v>11</v>
          </cell>
          <cell r="H327" t="str">
            <v>CC06</v>
          </cell>
          <cell r="I327" t="str">
            <v>Básico</v>
          </cell>
          <cell r="J327">
            <v>682.47</v>
          </cell>
        </row>
        <row r="328">
          <cell r="A328" t="str">
            <v>TV COMISS PGE/DP 12 40H</v>
          </cell>
          <cell r="B328" t="str">
            <v>TV COMISS PGE/DP</v>
          </cell>
          <cell r="C328" t="str">
            <v>Tabela de Valores Comissionamentos PGE</v>
          </cell>
          <cell r="D328" t="str">
            <v>40H</v>
          </cell>
          <cell r="E328">
            <v>41091</v>
          </cell>
          <cell r="G328" t="str">
            <v>12</v>
          </cell>
          <cell r="H328" t="str">
            <v>FG06</v>
          </cell>
          <cell r="I328" t="str">
            <v>Básico</v>
          </cell>
          <cell r="J328">
            <v>250.11</v>
          </cell>
        </row>
        <row r="329">
          <cell r="A329" t="str">
            <v>TV COMISS PGE/DP 13 40H</v>
          </cell>
          <cell r="B329" t="str">
            <v>TV COMISS PGE/DP</v>
          </cell>
          <cell r="C329" t="str">
            <v>Tabela de Valores Comissionamentos PGE</v>
          </cell>
          <cell r="D329" t="str">
            <v>40H</v>
          </cell>
          <cell r="E329">
            <v>41091</v>
          </cell>
          <cell r="G329" t="str">
            <v>13</v>
          </cell>
          <cell r="H329" t="str">
            <v>CC07</v>
          </cell>
          <cell r="I329" t="str">
            <v>Básico</v>
          </cell>
          <cell r="J329">
            <v>764.84</v>
          </cell>
        </row>
        <row r="330">
          <cell r="A330" t="str">
            <v>TV COMISS PGE/DP 14 40H</v>
          </cell>
          <cell r="B330" t="str">
            <v>TV COMISS PGE/DP</v>
          </cell>
          <cell r="C330" t="str">
            <v>Tabela de Valores Comissionamentos PGE</v>
          </cell>
          <cell r="D330" t="str">
            <v>40H</v>
          </cell>
          <cell r="E330">
            <v>41091</v>
          </cell>
          <cell r="G330" t="str">
            <v>14</v>
          </cell>
          <cell r="H330" t="str">
            <v>FG07</v>
          </cell>
          <cell r="I330" t="str">
            <v>Básico</v>
          </cell>
          <cell r="J330">
            <v>283.2</v>
          </cell>
        </row>
        <row r="331">
          <cell r="A331" t="str">
            <v>TV COMISS PGE/DP 15 40H</v>
          </cell>
          <cell r="B331" t="str">
            <v>TV COMISS PGE/DP</v>
          </cell>
          <cell r="C331" t="str">
            <v>Tabela de Valores Comissionamentos PGE</v>
          </cell>
          <cell r="D331" t="str">
            <v>40H</v>
          </cell>
          <cell r="E331">
            <v>41091</v>
          </cell>
          <cell r="G331" t="str">
            <v>15</v>
          </cell>
          <cell r="H331" t="str">
            <v>CC08</v>
          </cell>
          <cell r="I331" t="str">
            <v>Básico</v>
          </cell>
          <cell r="J331">
            <v>1166.87</v>
          </cell>
        </row>
        <row r="332">
          <cell r="A332" t="str">
            <v>TV COMISS PGE/DP 16 40H</v>
          </cell>
          <cell r="B332" t="str">
            <v>TV COMISS PGE/DP</v>
          </cell>
          <cell r="C332" t="str">
            <v>Tabela de Valores Comissionamentos PGE</v>
          </cell>
          <cell r="D332" t="str">
            <v>40H</v>
          </cell>
          <cell r="E332">
            <v>41091</v>
          </cell>
          <cell r="G332" t="str">
            <v>16</v>
          </cell>
          <cell r="H332" t="str">
            <v>FG08</v>
          </cell>
          <cell r="I332" t="str">
            <v>Básico</v>
          </cell>
          <cell r="J332">
            <v>443.87</v>
          </cell>
        </row>
        <row r="333">
          <cell r="A333" t="str">
            <v>TV COMISS PGE/DP 17 40H</v>
          </cell>
          <cell r="B333" t="str">
            <v>TV COMISS PGE/DP</v>
          </cell>
          <cell r="C333" t="str">
            <v>Tabela de Valores Comissionamentos PGE</v>
          </cell>
          <cell r="D333" t="str">
            <v>40H</v>
          </cell>
          <cell r="E333">
            <v>41091</v>
          </cell>
          <cell r="G333" t="str">
            <v>17</v>
          </cell>
          <cell r="H333" t="str">
            <v>CC09</v>
          </cell>
          <cell r="I333" t="str">
            <v>Básico</v>
          </cell>
          <cell r="J333">
            <v>1526.45</v>
          </cell>
        </row>
        <row r="334">
          <cell r="A334" t="str">
            <v>TV COMISS PGE/DP 18 40H</v>
          </cell>
          <cell r="B334" t="str">
            <v>TV COMISS PGE/DP</v>
          </cell>
          <cell r="C334" t="str">
            <v>Tabela de Valores Comissionamentos PGE</v>
          </cell>
          <cell r="D334" t="str">
            <v>40H</v>
          </cell>
          <cell r="E334">
            <v>41091</v>
          </cell>
          <cell r="G334" t="str">
            <v>18</v>
          </cell>
          <cell r="H334" t="str">
            <v>FG09</v>
          </cell>
          <cell r="I334" t="str">
            <v>Básico</v>
          </cell>
          <cell r="J334">
            <v>610.89</v>
          </cell>
        </row>
        <row r="335">
          <cell r="A335" t="str">
            <v>TV COMISS PGE/DP 19 40H</v>
          </cell>
          <cell r="B335" t="str">
            <v>TV COMISS PGE/DP</v>
          </cell>
          <cell r="C335" t="str">
            <v>Tabela de Valores Comissionamentos PGE</v>
          </cell>
          <cell r="D335" t="str">
            <v>40H</v>
          </cell>
          <cell r="E335">
            <v>41091</v>
          </cell>
          <cell r="G335" t="str">
            <v>19</v>
          </cell>
          <cell r="H335" t="str">
            <v>CC10</v>
          </cell>
          <cell r="I335" t="str">
            <v>Básico</v>
          </cell>
          <cell r="J335">
            <v>1746.34</v>
          </cell>
        </row>
        <row r="336">
          <cell r="A336" t="str">
            <v>TV COMISS PGE/DP 20 40H</v>
          </cell>
          <cell r="B336" t="str">
            <v>TV COMISS PGE/DP</v>
          </cell>
          <cell r="C336" t="str">
            <v>Tabela de Valores Comissionamentos PGE</v>
          </cell>
          <cell r="D336" t="str">
            <v>40H</v>
          </cell>
          <cell r="E336">
            <v>41091</v>
          </cell>
          <cell r="G336" t="str">
            <v>20</v>
          </cell>
          <cell r="H336" t="str">
            <v>FG10</v>
          </cell>
          <cell r="I336" t="str">
            <v>Básico</v>
          </cell>
          <cell r="J336">
            <v>698.78</v>
          </cell>
        </row>
        <row r="337">
          <cell r="A337" t="str">
            <v>TV COMISS PGE/DP 21 40H</v>
          </cell>
          <cell r="B337" t="str">
            <v>TV COMISS PGE/DP</v>
          </cell>
          <cell r="C337" t="str">
            <v>Tabela de Valores Comissionamentos PGE</v>
          </cell>
          <cell r="D337" t="str">
            <v>40H</v>
          </cell>
          <cell r="E337">
            <v>41091</v>
          </cell>
          <cell r="G337" t="str">
            <v>21</v>
          </cell>
          <cell r="H337" t="str">
            <v>CC11</v>
          </cell>
          <cell r="I337" t="str">
            <v>Básico</v>
          </cell>
          <cell r="J337">
            <v>1944.54</v>
          </cell>
        </row>
        <row r="338">
          <cell r="A338" t="str">
            <v>TV COMISS PGE/DP 22 40H</v>
          </cell>
          <cell r="B338" t="str">
            <v>TV COMISS PGE/DP</v>
          </cell>
          <cell r="C338" t="str">
            <v>Tabela de Valores Comissionamentos PGE</v>
          </cell>
          <cell r="D338" t="str">
            <v>40H</v>
          </cell>
          <cell r="E338">
            <v>41091</v>
          </cell>
          <cell r="G338" t="str">
            <v>22</v>
          </cell>
          <cell r="H338" t="str">
            <v>FG11</v>
          </cell>
          <cell r="I338" t="str">
            <v>Básico</v>
          </cell>
          <cell r="J338">
            <v>777.67</v>
          </cell>
        </row>
        <row r="339">
          <cell r="A339" t="str">
            <v>TV COMISS PGE/DP 23 40H</v>
          </cell>
          <cell r="B339" t="str">
            <v>TV COMISS PGE/DP</v>
          </cell>
          <cell r="C339" t="str">
            <v>Tabela de Valores Comissionamentos PGE</v>
          </cell>
          <cell r="D339" t="str">
            <v>40H</v>
          </cell>
          <cell r="E339">
            <v>41091</v>
          </cell>
          <cell r="G339" t="str">
            <v>23</v>
          </cell>
          <cell r="H339" t="str">
            <v>CC12</v>
          </cell>
          <cell r="I339" t="str">
            <v>Básico</v>
          </cell>
          <cell r="J339">
            <v>2480.37</v>
          </cell>
        </row>
        <row r="340">
          <cell r="A340" t="str">
            <v>TV COMISS PGE/DP 24 40H</v>
          </cell>
          <cell r="B340" t="str">
            <v>TV COMISS PGE/DP</v>
          </cell>
          <cell r="C340" t="str">
            <v>Tabela de Valores Comissionamentos PGE</v>
          </cell>
          <cell r="D340" t="str">
            <v>40H</v>
          </cell>
          <cell r="E340">
            <v>41091</v>
          </cell>
          <cell r="G340" t="str">
            <v>24</v>
          </cell>
          <cell r="H340" t="str">
            <v>FG12</v>
          </cell>
          <cell r="I340" t="str">
            <v>Básico</v>
          </cell>
          <cell r="J340">
            <v>992.53</v>
          </cell>
        </row>
        <row r="341">
          <cell r="A341" t="str">
            <v>TV COMISS PGE/DP 25 40H</v>
          </cell>
          <cell r="B341" t="str">
            <v>TV COMISS PGE/DP</v>
          </cell>
          <cell r="C341" t="str">
            <v>Tabela de Valores Comissionamentos PGE</v>
          </cell>
          <cell r="D341" t="str">
            <v>40H</v>
          </cell>
          <cell r="E341">
            <v>41091</v>
          </cell>
          <cell r="G341" t="str">
            <v>25</v>
          </cell>
          <cell r="H341" t="str">
            <v>Cl R / PGE</v>
          </cell>
          <cell r="I341" t="str">
            <v>Básico</v>
          </cell>
          <cell r="J341">
            <v>2990.5</v>
          </cell>
        </row>
        <row r="342">
          <cell r="A342" t="str">
            <v>TV COMISS PGJ 01 40H</v>
          </cell>
          <cell r="B342" t="str">
            <v>TV COMISS PGJ</v>
          </cell>
          <cell r="C342" t="str">
            <v>Tabela de Valores Funções Gratificadas da PGJ</v>
          </cell>
          <cell r="D342" t="str">
            <v>40H</v>
          </cell>
          <cell r="E342">
            <v>41548</v>
          </cell>
          <cell r="G342" t="str">
            <v>01</v>
          </cell>
          <cell r="H342" t="str">
            <v>FG04</v>
          </cell>
          <cell r="I342" t="str">
            <v>Básico</v>
          </cell>
          <cell r="J342">
            <v>1026.19</v>
          </cell>
        </row>
        <row r="343">
          <cell r="A343" t="str">
            <v>TV COMISS PGJ 02 40H</v>
          </cell>
          <cell r="B343" t="str">
            <v>TV COMISS PGJ</v>
          </cell>
          <cell r="C343" t="str">
            <v>Tabela de Valores Funções Gratificadas da PGJ</v>
          </cell>
          <cell r="D343" t="str">
            <v>40H</v>
          </cell>
          <cell r="E343">
            <v>41548</v>
          </cell>
          <cell r="G343" t="str">
            <v>02</v>
          </cell>
          <cell r="H343" t="str">
            <v>FG05</v>
          </cell>
          <cell r="I343" t="str">
            <v>Básico</v>
          </cell>
          <cell r="J343">
            <v>1241.81</v>
          </cell>
        </row>
        <row r="344">
          <cell r="A344" t="str">
            <v>TV COMISS PGJ 03 40H</v>
          </cell>
          <cell r="B344" t="str">
            <v>TV COMISS PGJ</v>
          </cell>
          <cell r="C344" t="str">
            <v>Tabela de Valores Funções Gratificadas da PGJ</v>
          </cell>
          <cell r="D344" t="str">
            <v>40H</v>
          </cell>
          <cell r="E344">
            <v>41548</v>
          </cell>
          <cell r="G344" t="str">
            <v>03</v>
          </cell>
          <cell r="H344" t="str">
            <v>FG06</v>
          </cell>
          <cell r="I344" t="str">
            <v>Básico</v>
          </cell>
          <cell r="J344">
            <v>1388.42</v>
          </cell>
        </row>
        <row r="345">
          <cell r="A345" t="str">
            <v>TV COMISS PGJ 04 40H</v>
          </cell>
          <cell r="B345" t="str">
            <v>TV COMISS PGJ</v>
          </cell>
          <cell r="C345" t="str">
            <v>Tabela de Valores Funções Gratificadas da PGJ</v>
          </cell>
          <cell r="D345" t="str">
            <v>40H</v>
          </cell>
          <cell r="E345">
            <v>41548</v>
          </cell>
          <cell r="G345" t="str">
            <v>04</v>
          </cell>
          <cell r="H345" t="str">
            <v>FG07</v>
          </cell>
          <cell r="I345" t="str">
            <v>Básico</v>
          </cell>
          <cell r="J345">
            <v>1948.94</v>
          </cell>
        </row>
        <row r="346">
          <cell r="A346" t="str">
            <v>TV COMISS PGJ 05 40H</v>
          </cell>
          <cell r="B346" t="str">
            <v>TV COMISS PGJ</v>
          </cell>
          <cell r="C346" t="str">
            <v>Tabela de Valores Funções Gratificadas da PGJ</v>
          </cell>
          <cell r="D346" t="str">
            <v>40H</v>
          </cell>
          <cell r="E346">
            <v>41548</v>
          </cell>
          <cell r="G346" t="str">
            <v>05</v>
          </cell>
          <cell r="H346" t="str">
            <v>FG08</v>
          </cell>
          <cell r="I346" t="str">
            <v>Básico</v>
          </cell>
          <cell r="J346">
            <v>2423.45</v>
          </cell>
        </row>
        <row r="347">
          <cell r="A347" t="str">
            <v>TV COMISS PGJ 06 40H</v>
          </cell>
          <cell r="B347" t="str">
            <v>TV COMISS PGJ</v>
          </cell>
          <cell r="C347" t="str">
            <v>Tabela de Valores Funções Gratificadas da PGJ</v>
          </cell>
          <cell r="D347" t="str">
            <v>40H</v>
          </cell>
          <cell r="E347">
            <v>41548</v>
          </cell>
          <cell r="G347" t="str">
            <v>06</v>
          </cell>
          <cell r="H347" t="str">
            <v>CC10</v>
          </cell>
          <cell r="I347" t="str">
            <v>Básico</v>
          </cell>
          <cell r="J347">
            <v>7305.02</v>
          </cell>
        </row>
        <row r="348">
          <cell r="A348" t="str">
            <v>TV COMISS PGJ 07 40H</v>
          </cell>
          <cell r="B348" t="str">
            <v>TV COMISS PGJ</v>
          </cell>
          <cell r="C348" t="str">
            <v>Tabela de Valores Funções Gratificadas da PGJ</v>
          </cell>
          <cell r="D348" t="str">
            <v>40H</v>
          </cell>
          <cell r="E348">
            <v>41548</v>
          </cell>
          <cell r="G348" t="str">
            <v>07</v>
          </cell>
          <cell r="H348" t="str">
            <v>FG10</v>
          </cell>
          <cell r="I348" t="str">
            <v>Básico</v>
          </cell>
          <cell r="J348">
            <v>3561.96</v>
          </cell>
        </row>
        <row r="349">
          <cell r="A349" t="str">
            <v>TV COMISS PGJ 08 40H</v>
          </cell>
          <cell r="B349" t="str">
            <v>TV COMISS PGJ</v>
          </cell>
          <cell r="C349" t="str">
            <v>Tabela de Valores Funções Gratificadas da PGJ</v>
          </cell>
          <cell r="D349" t="str">
            <v>40H</v>
          </cell>
          <cell r="E349">
            <v>41548</v>
          </cell>
          <cell r="G349" t="str">
            <v>08</v>
          </cell>
          <cell r="H349" t="str">
            <v>CC11</v>
          </cell>
          <cell r="I349" t="str">
            <v>Básico</v>
          </cell>
          <cell r="J349">
            <v>7762.07</v>
          </cell>
        </row>
        <row r="350">
          <cell r="A350" t="str">
            <v>TV COMISS PGJ 09 40H</v>
          </cell>
          <cell r="B350" t="str">
            <v>TV COMISS PGJ</v>
          </cell>
          <cell r="C350" t="str">
            <v>Tabela de Valores Funções Gratificadas da PGJ</v>
          </cell>
          <cell r="D350" t="str">
            <v>40H</v>
          </cell>
          <cell r="E350">
            <v>41548</v>
          </cell>
          <cell r="G350" t="str">
            <v>09</v>
          </cell>
          <cell r="H350" t="str">
            <v>FG11</v>
          </cell>
          <cell r="I350" t="str">
            <v>Básico</v>
          </cell>
          <cell r="J350">
            <v>3777.37</v>
          </cell>
        </row>
        <row r="351">
          <cell r="A351" t="str">
            <v>TV COMISS PGJ 10 40H</v>
          </cell>
          <cell r="B351" t="str">
            <v>TV COMISS PGJ</v>
          </cell>
          <cell r="C351" t="str">
            <v>Tabela de Valores Funções Gratificadas da PGJ</v>
          </cell>
          <cell r="D351" t="str">
            <v>40H</v>
          </cell>
          <cell r="E351">
            <v>41548</v>
          </cell>
          <cell r="G351" t="str">
            <v>10</v>
          </cell>
          <cell r="H351" t="str">
            <v>CC12</v>
          </cell>
          <cell r="I351" t="str">
            <v>Básico</v>
          </cell>
          <cell r="J351">
            <v>8219.28</v>
          </cell>
        </row>
        <row r="352">
          <cell r="A352" t="str">
            <v>TV COMISS PGJ 11 40H</v>
          </cell>
          <cell r="B352" t="str">
            <v>TV COMISS PGJ</v>
          </cell>
          <cell r="C352" t="str">
            <v>Tabela de Valores Funções Gratificadas da PGJ</v>
          </cell>
          <cell r="D352" t="str">
            <v>40H</v>
          </cell>
          <cell r="E352">
            <v>41548</v>
          </cell>
          <cell r="G352" t="str">
            <v>11</v>
          </cell>
          <cell r="H352" t="str">
            <v>FG12</v>
          </cell>
          <cell r="I352" t="str">
            <v>Básico</v>
          </cell>
          <cell r="J352">
            <v>3993</v>
          </cell>
        </row>
        <row r="353">
          <cell r="A353" t="str">
            <v>TV COMISS TRIB CONT 01 40H</v>
          </cell>
          <cell r="B353" t="str">
            <v>TV COMISS TRIB CONT</v>
          </cell>
          <cell r="C353" t="str">
            <v>Tabela de Valores FG do Trib. Contas-Anterior Lei 13.268/09</v>
          </cell>
          <cell r="D353" t="str">
            <v>40H</v>
          </cell>
          <cell r="E353">
            <v>41548</v>
          </cell>
          <cell r="G353" t="str">
            <v>01</v>
          </cell>
          <cell r="H353" t="str">
            <v>CCTC01</v>
          </cell>
          <cell r="I353" t="str">
            <v>Básico</v>
          </cell>
          <cell r="J353">
            <v>1604.1</v>
          </cell>
        </row>
        <row r="354">
          <cell r="A354" t="str">
            <v>TV COMISS TRIB CONT 02 40H</v>
          </cell>
          <cell r="B354" t="str">
            <v>TV COMISS TRIB CONT</v>
          </cell>
          <cell r="C354" t="str">
            <v>Tabela de Valores FG do Trib. Contas-Anterior Lei 13.268/09</v>
          </cell>
          <cell r="D354" t="str">
            <v>40H</v>
          </cell>
          <cell r="E354">
            <v>41548</v>
          </cell>
          <cell r="G354" t="str">
            <v>02</v>
          </cell>
          <cell r="H354" t="str">
            <v>FGTC01</v>
          </cell>
          <cell r="I354" t="str">
            <v>Básico</v>
          </cell>
          <cell r="J354">
            <v>481.77</v>
          </cell>
        </row>
        <row r="355">
          <cell r="A355" t="str">
            <v>TV COMISS TRIB CONT 03 40H</v>
          </cell>
          <cell r="B355" t="str">
            <v>TV COMISS TRIB CONT</v>
          </cell>
          <cell r="C355" t="str">
            <v>Tabela de Valores FG do Trib. Contas-Anterior Lei 13.268/09</v>
          </cell>
          <cell r="D355" t="str">
            <v>40H</v>
          </cell>
          <cell r="E355">
            <v>41548</v>
          </cell>
          <cell r="G355" t="str">
            <v>03</v>
          </cell>
          <cell r="H355" t="str">
            <v>CCTC02</v>
          </cell>
          <cell r="I355" t="str">
            <v>Básico</v>
          </cell>
          <cell r="J355">
            <v>2160.75</v>
          </cell>
        </row>
        <row r="356">
          <cell r="A356" t="str">
            <v>TV COMISS TRIB CONT 04 40H</v>
          </cell>
          <cell r="B356" t="str">
            <v>TV COMISS TRIB CONT</v>
          </cell>
          <cell r="C356" t="str">
            <v>Tabela de Valores FG do Trib. Contas-Anterior Lei 13.268/09</v>
          </cell>
          <cell r="D356" t="str">
            <v>40H</v>
          </cell>
          <cell r="E356">
            <v>41548</v>
          </cell>
          <cell r="G356" t="str">
            <v>04</v>
          </cell>
          <cell r="H356" t="str">
            <v>FGTC02</v>
          </cell>
          <cell r="I356" t="str">
            <v>Básico</v>
          </cell>
          <cell r="J356">
            <v>598.19</v>
          </cell>
        </row>
        <row r="357">
          <cell r="A357" t="str">
            <v>TV COMISS TRIB CONT 05 40H</v>
          </cell>
          <cell r="B357" t="str">
            <v>TV COMISS TRIB CONT</v>
          </cell>
          <cell r="C357" t="str">
            <v>Tabela de Valores FG do Trib. Contas-Anterior Lei 13.268/09</v>
          </cell>
          <cell r="D357" t="str">
            <v>40H</v>
          </cell>
          <cell r="E357">
            <v>41548</v>
          </cell>
          <cell r="G357" t="str">
            <v>05</v>
          </cell>
          <cell r="H357" t="str">
            <v>CCTC03</v>
          </cell>
          <cell r="I357" t="str">
            <v>Básico</v>
          </cell>
          <cell r="J357">
            <v>2714.41</v>
          </cell>
        </row>
        <row r="358">
          <cell r="A358" t="str">
            <v>TV COMISS TRIB CONT 06 40H</v>
          </cell>
          <cell r="B358" t="str">
            <v>TV COMISS TRIB CONT</v>
          </cell>
          <cell r="C358" t="str">
            <v>Tabela de Valores FG do Trib. Contas-Anterior Lei 13.268/09</v>
          </cell>
          <cell r="D358" t="str">
            <v>40H</v>
          </cell>
          <cell r="E358">
            <v>41548</v>
          </cell>
          <cell r="G358" t="str">
            <v>06</v>
          </cell>
          <cell r="H358" t="str">
            <v>FGTC03</v>
          </cell>
          <cell r="I358" t="str">
            <v>Básico</v>
          </cell>
          <cell r="J358">
            <v>726.2</v>
          </cell>
        </row>
        <row r="359">
          <cell r="A359" t="str">
            <v>TV COMISS TRIB CONT 07 40H</v>
          </cell>
          <cell r="B359" t="str">
            <v>TV COMISS TRIB CONT</v>
          </cell>
          <cell r="C359" t="str">
            <v>Tabela de Valores FG do Trib. Contas-Anterior Lei 13.268/09</v>
          </cell>
          <cell r="D359" t="str">
            <v>40H</v>
          </cell>
          <cell r="E359">
            <v>41548</v>
          </cell>
          <cell r="G359" t="str">
            <v>07</v>
          </cell>
          <cell r="H359" t="str">
            <v>CCTC04</v>
          </cell>
          <cell r="I359" t="str">
            <v>Básico</v>
          </cell>
          <cell r="J359">
            <v>3269.97</v>
          </cell>
        </row>
        <row r="360">
          <cell r="A360" t="str">
            <v>TV COMISS TRIB CONT 08 40H</v>
          </cell>
          <cell r="B360" t="str">
            <v>TV COMISS TRIB CONT</v>
          </cell>
          <cell r="C360" t="str">
            <v>Tabela de Valores FG do Trib. Contas-Anterior Lei 13.268/09</v>
          </cell>
          <cell r="D360" t="str">
            <v>40H</v>
          </cell>
          <cell r="E360">
            <v>41548</v>
          </cell>
          <cell r="G360" t="str">
            <v>08</v>
          </cell>
          <cell r="H360" t="str">
            <v>FGTC04</v>
          </cell>
          <cell r="I360" t="str">
            <v>Básico</v>
          </cell>
          <cell r="J360">
            <v>810.67</v>
          </cell>
        </row>
        <row r="361">
          <cell r="A361" t="str">
            <v>TV COMISS TRIB CONT 09 40H</v>
          </cell>
          <cell r="B361" t="str">
            <v>TV COMISS TRIB CONT</v>
          </cell>
          <cell r="C361" t="str">
            <v>Tabela de Valores FG do Trib. Contas-Anterior Lei 13.268/09</v>
          </cell>
          <cell r="D361" t="str">
            <v>40H</v>
          </cell>
          <cell r="E361">
            <v>41548</v>
          </cell>
          <cell r="G361" t="str">
            <v>09</v>
          </cell>
          <cell r="H361" t="str">
            <v>CCTC05</v>
          </cell>
          <cell r="I361" t="str">
            <v>Básico</v>
          </cell>
          <cell r="J361">
            <v>3512.02</v>
          </cell>
        </row>
        <row r="362">
          <cell r="A362" t="str">
            <v>TV COMISS TRIB CONT 10 40H</v>
          </cell>
          <cell r="B362" t="str">
            <v>TV COMISS TRIB CONT</v>
          </cell>
          <cell r="C362" t="str">
            <v>Tabela de Valores FG do Trib. Contas-Anterior Lei 13.268/09</v>
          </cell>
          <cell r="D362" t="str">
            <v>40H</v>
          </cell>
          <cell r="E362">
            <v>41548</v>
          </cell>
          <cell r="G362" t="str">
            <v>10</v>
          </cell>
          <cell r="H362" t="str">
            <v>FGTC05</v>
          </cell>
          <cell r="I362" t="str">
            <v>Básico</v>
          </cell>
          <cell r="J362">
            <v>1141.58</v>
          </cell>
        </row>
        <row r="363">
          <cell r="A363" t="str">
            <v>TV COMISS TRIB CONT 11 40H</v>
          </cell>
          <cell r="B363" t="str">
            <v>TV COMISS TRIB CONT</v>
          </cell>
          <cell r="C363" t="str">
            <v>Tabela de Valores FG do Trib. Contas-Anterior Lei 13.268/09</v>
          </cell>
          <cell r="D363" t="str">
            <v>40H</v>
          </cell>
          <cell r="E363">
            <v>41548</v>
          </cell>
          <cell r="G363" t="str">
            <v>11</v>
          </cell>
          <cell r="H363" t="str">
            <v>CCTC06</v>
          </cell>
          <cell r="I363" t="str">
            <v>Básico</v>
          </cell>
          <cell r="J363">
            <v>3823.95</v>
          </cell>
        </row>
        <row r="364">
          <cell r="A364" t="str">
            <v>TV COMISS TRIB CONT 12 40H</v>
          </cell>
          <cell r="B364" t="str">
            <v>TV COMISS TRIB CONT</v>
          </cell>
          <cell r="C364" t="str">
            <v>Tabela de Valores FG do Trib. Contas-Anterior Lei 13.268/09</v>
          </cell>
          <cell r="D364" t="str">
            <v>40H</v>
          </cell>
          <cell r="E364">
            <v>41548</v>
          </cell>
          <cell r="G364" t="str">
            <v>12</v>
          </cell>
          <cell r="H364" t="str">
            <v>FGTC06</v>
          </cell>
          <cell r="I364" t="str">
            <v>Básico</v>
          </cell>
          <cell r="J364">
            <v>1411.41</v>
          </cell>
        </row>
        <row r="365">
          <cell r="A365" t="str">
            <v>TV COMISS TRIB CONT 13 40H</v>
          </cell>
          <cell r="B365" t="str">
            <v>TV COMISS TRIB CONT</v>
          </cell>
          <cell r="C365" t="str">
            <v>Tabela de Valores FG do Trib. Contas-Anterior Lei 13.268/09</v>
          </cell>
          <cell r="D365" t="str">
            <v>40H</v>
          </cell>
          <cell r="E365">
            <v>41548</v>
          </cell>
          <cell r="G365" t="str">
            <v>13</v>
          </cell>
          <cell r="H365" t="str">
            <v>CCTC07</v>
          </cell>
          <cell r="I365" t="str">
            <v>Básico</v>
          </cell>
          <cell r="J365">
            <v>1662.92</v>
          </cell>
        </row>
        <row r="366">
          <cell r="A366" t="str">
            <v>TV COMISS TRIB CONT 14 40H</v>
          </cell>
          <cell r="B366" t="str">
            <v>TV COMISS TRIB CONT</v>
          </cell>
          <cell r="C366" t="str">
            <v>Tabela de Valores FG do Trib. Contas-Anterior Lei 13.268/09</v>
          </cell>
          <cell r="D366" t="str">
            <v>40H</v>
          </cell>
          <cell r="E366">
            <v>41548</v>
          </cell>
          <cell r="G366" t="str">
            <v>14</v>
          </cell>
          <cell r="H366" t="str">
            <v>FGTC07</v>
          </cell>
          <cell r="I366" t="str">
            <v>Básico</v>
          </cell>
          <cell r="J366">
            <v>1662.92</v>
          </cell>
        </row>
        <row r="367">
          <cell r="A367" t="str">
            <v>TV COMISS TRIB CONT 15 40H</v>
          </cell>
          <cell r="B367" t="str">
            <v>TV COMISS TRIB CONT</v>
          </cell>
          <cell r="C367" t="str">
            <v>Tabela de Valores FG do Trib. Contas-Anterior Lei 13.268/09</v>
          </cell>
          <cell r="D367" t="str">
            <v>40H</v>
          </cell>
          <cell r="E367">
            <v>41548</v>
          </cell>
          <cell r="G367" t="str">
            <v>15</v>
          </cell>
          <cell r="H367" t="str">
            <v>CCTC08</v>
          </cell>
          <cell r="I367" t="str">
            <v>Básico</v>
          </cell>
          <cell r="J367">
            <v>4303.45</v>
          </cell>
        </row>
        <row r="368">
          <cell r="A368" t="str">
            <v>TV COMISS TRIB CONT 16 40H</v>
          </cell>
          <cell r="B368" t="str">
            <v>TV COMISS TRIB CONT</v>
          </cell>
          <cell r="C368" t="str">
            <v>Tabela de Valores FG do Trib. Contas-Anterior Lei 13.268/09</v>
          </cell>
          <cell r="D368" t="str">
            <v>40H</v>
          </cell>
          <cell r="E368">
            <v>41548</v>
          </cell>
          <cell r="G368" t="str">
            <v>16</v>
          </cell>
          <cell r="H368" t="str">
            <v>FGTC08</v>
          </cell>
          <cell r="I368" t="str">
            <v>Básico</v>
          </cell>
          <cell r="J368">
            <v>1784.54</v>
          </cell>
        </row>
        <row r="369">
          <cell r="A369" t="str">
            <v>TV COMISS TRIB CONT 17 40H</v>
          </cell>
          <cell r="B369" t="str">
            <v>TV COMISS TRIB CONT</v>
          </cell>
          <cell r="C369" t="str">
            <v>Tabela de Valores FG do Trib. Contas-Anterior Lei 13.268/09</v>
          </cell>
          <cell r="D369" t="str">
            <v>40H</v>
          </cell>
          <cell r="E369">
            <v>41548</v>
          </cell>
          <cell r="G369" t="str">
            <v>17</v>
          </cell>
          <cell r="H369" t="str">
            <v>CCTC09</v>
          </cell>
          <cell r="I369" t="str">
            <v>Básico</v>
          </cell>
          <cell r="J369">
            <v>1871.25</v>
          </cell>
        </row>
        <row r="370">
          <cell r="A370" t="str">
            <v>TV COMISS TRIB CONT 18 40H</v>
          </cell>
          <cell r="B370" t="str">
            <v>TV COMISS TRIB CONT</v>
          </cell>
          <cell r="C370" t="str">
            <v>Tabela de Valores FG do Trib. Contas-Anterior Lei 13.268/09</v>
          </cell>
          <cell r="D370" t="str">
            <v>40H</v>
          </cell>
          <cell r="E370">
            <v>41548</v>
          </cell>
          <cell r="G370" t="str">
            <v>18</v>
          </cell>
          <cell r="H370" t="str">
            <v>FGTC09</v>
          </cell>
          <cell r="I370" t="str">
            <v>Básico</v>
          </cell>
          <cell r="J370">
            <v>1871.25</v>
          </cell>
        </row>
        <row r="371">
          <cell r="A371" t="str">
            <v>TV COMISS TRIB CONT 19 40H</v>
          </cell>
          <cell r="B371" t="str">
            <v>TV COMISS TRIB CONT</v>
          </cell>
          <cell r="C371" t="str">
            <v>Tabela de Valores FG do Trib. Contas-Anterior Lei 13.268/09</v>
          </cell>
          <cell r="D371" t="str">
            <v>40H</v>
          </cell>
          <cell r="E371">
            <v>41548</v>
          </cell>
          <cell r="G371" t="str">
            <v>19</v>
          </cell>
          <cell r="H371" t="str">
            <v>CCTC10</v>
          </cell>
          <cell r="I371" t="str">
            <v>Básico</v>
          </cell>
          <cell r="J371">
            <v>2244.95</v>
          </cell>
        </row>
        <row r="372">
          <cell r="A372" t="str">
            <v>TV COMISS TRIB CONT 20 40H</v>
          </cell>
          <cell r="B372" t="str">
            <v>TV COMISS TRIB CONT</v>
          </cell>
          <cell r="C372" t="str">
            <v>Tabela de Valores FG do Trib. Contas-Anterior Lei 13.268/09</v>
          </cell>
          <cell r="D372" t="str">
            <v>40H</v>
          </cell>
          <cell r="E372">
            <v>41548</v>
          </cell>
          <cell r="G372" t="str">
            <v>20</v>
          </cell>
          <cell r="H372" t="str">
            <v>FGTC10</v>
          </cell>
          <cell r="I372" t="str">
            <v>Básico</v>
          </cell>
          <cell r="J372">
            <v>2244.95</v>
          </cell>
        </row>
        <row r="373">
          <cell r="A373" t="str">
            <v>TV COMISS TRIB CONT 21 40H</v>
          </cell>
          <cell r="B373" t="str">
            <v>TV COMISS TRIB CONT</v>
          </cell>
          <cell r="C373" t="str">
            <v>Tabela de Valores FG do Trib. Contas-Anterior Lei 13.268/09</v>
          </cell>
          <cell r="D373" t="str">
            <v>40H</v>
          </cell>
          <cell r="E373">
            <v>41548</v>
          </cell>
          <cell r="G373" t="str">
            <v>21</v>
          </cell>
          <cell r="H373" t="str">
            <v>CCTC11</v>
          </cell>
          <cell r="I373" t="str">
            <v>Básico</v>
          </cell>
          <cell r="J373">
            <v>2536.02</v>
          </cell>
        </row>
        <row r="374">
          <cell r="A374" t="str">
            <v>TV COMISS TRIB CONT 22 40H</v>
          </cell>
          <cell r="B374" t="str">
            <v>TV COMISS TRIB CONT</v>
          </cell>
          <cell r="C374" t="str">
            <v>Tabela de Valores FG do Trib. Contas-Anterior Lei 13.268/09</v>
          </cell>
          <cell r="D374" t="str">
            <v>40H</v>
          </cell>
          <cell r="E374">
            <v>41548</v>
          </cell>
          <cell r="G374" t="str">
            <v>22</v>
          </cell>
          <cell r="H374" t="str">
            <v>FGTC11</v>
          </cell>
          <cell r="I374" t="str">
            <v>Básico</v>
          </cell>
          <cell r="J374">
            <v>2536.02</v>
          </cell>
        </row>
        <row r="375">
          <cell r="A375" t="str">
            <v>TV COMISS TRIB JUST 01 40H</v>
          </cell>
          <cell r="B375" t="str">
            <v>TV COMISS TRIB JUST</v>
          </cell>
          <cell r="C375" t="str">
            <v>Tabela de Valores Funções Gratificadas do Trib. Justiça</v>
          </cell>
          <cell r="D375" t="str">
            <v>40H</v>
          </cell>
          <cell r="E375">
            <v>41548</v>
          </cell>
          <cell r="G375" t="str">
            <v>01</v>
          </cell>
          <cell r="H375" t="str">
            <v>CCTJ12</v>
          </cell>
          <cell r="I375" t="str">
            <v>Básico</v>
          </cell>
          <cell r="J375">
            <v>13809.09</v>
          </cell>
        </row>
        <row r="376">
          <cell r="A376" t="str">
            <v>TV COMISS TRIB JUST 02 40H</v>
          </cell>
          <cell r="B376" t="str">
            <v>TV COMISS TRIB JUST</v>
          </cell>
          <cell r="C376" t="str">
            <v>Tabela de Valores Funções Gratificadas do Trib. Justiça</v>
          </cell>
          <cell r="D376" t="str">
            <v>40H</v>
          </cell>
          <cell r="E376">
            <v>41548</v>
          </cell>
          <cell r="G376" t="str">
            <v>02</v>
          </cell>
          <cell r="H376" t="str">
            <v>FGTJ04</v>
          </cell>
          <cell r="I376" t="str">
            <v>Básico</v>
          </cell>
          <cell r="J376">
            <v>738.86</v>
          </cell>
        </row>
        <row r="377">
          <cell r="A377" t="str">
            <v>TV COMISS TRIB JUST 03 40H</v>
          </cell>
          <cell r="B377" t="str">
            <v>TV COMISS TRIB JUST</v>
          </cell>
          <cell r="C377" t="str">
            <v>Tabela de Valores Funções Gratificadas do Trib. Justiça</v>
          </cell>
          <cell r="D377" t="str">
            <v>40H</v>
          </cell>
          <cell r="E377">
            <v>41548</v>
          </cell>
          <cell r="G377" t="str">
            <v>03</v>
          </cell>
          <cell r="H377" t="str">
            <v>FGTJ05</v>
          </cell>
          <cell r="I377" t="str">
            <v>Básico</v>
          </cell>
          <cell r="J377">
            <v>890.71</v>
          </cell>
        </row>
        <row r="378">
          <cell r="A378" t="str">
            <v>TV COMISS TRIB JUST 04 40H</v>
          </cell>
          <cell r="B378" t="str">
            <v>TV COMISS TRIB JUST</v>
          </cell>
          <cell r="C378" t="str">
            <v>Tabela de Valores Funções Gratificadas do Trib. Justiça</v>
          </cell>
          <cell r="D378" t="str">
            <v>40H</v>
          </cell>
          <cell r="E378">
            <v>41548</v>
          </cell>
          <cell r="G378" t="str">
            <v>04</v>
          </cell>
          <cell r="H378" t="str">
            <v>FGTJ06</v>
          </cell>
          <cell r="I378" t="str">
            <v>Básico</v>
          </cell>
          <cell r="J378">
            <v>1001.17</v>
          </cell>
        </row>
        <row r="379">
          <cell r="A379" t="str">
            <v>TV COMISS TRIB JUST 05 40H</v>
          </cell>
          <cell r="B379" t="str">
            <v>TV COMISS TRIB JUST</v>
          </cell>
          <cell r="C379" t="str">
            <v>Tabela de Valores Funções Gratificadas do Trib. Justiça</v>
          </cell>
          <cell r="D379" t="str">
            <v>40H</v>
          </cell>
          <cell r="E379">
            <v>41548</v>
          </cell>
          <cell r="G379" t="str">
            <v>05</v>
          </cell>
          <cell r="H379" t="str">
            <v>FGTJ07</v>
          </cell>
          <cell r="I379" t="str">
            <v>Básico</v>
          </cell>
          <cell r="J379">
            <v>1985.15</v>
          </cell>
        </row>
        <row r="380">
          <cell r="A380" t="str">
            <v>TV COMISS TRIB JUST 06 40H</v>
          </cell>
          <cell r="B380" t="str">
            <v>TV COMISS TRIB JUST</v>
          </cell>
          <cell r="C380" t="str">
            <v>Tabela de Valores Funções Gratificadas do Trib. Justiça</v>
          </cell>
          <cell r="D380" t="str">
            <v>40H</v>
          </cell>
          <cell r="E380">
            <v>41548</v>
          </cell>
          <cell r="G380" t="str">
            <v>06</v>
          </cell>
          <cell r="H380" t="str">
            <v>FGTJ08</v>
          </cell>
          <cell r="I380" t="str">
            <v>Básico</v>
          </cell>
          <cell r="J380">
            <v>2423.49</v>
          </cell>
        </row>
        <row r="381">
          <cell r="A381" t="str">
            <v>TV COMISS TRIB JUST 07 40H</v>
          </cell>
          <cell r="B381" t="str">
            <v>TV COMISS TRIB JUST</v>
          </cell>
          <cell r="C381" t="str">
            <v>Tabela de Valores Funções Gratificadas do Trib. Justiça</v>
          </cell>
          <cell r="D381" t="str">
            <v>40H</v>
          </cell>
          <cell r="E381">
            <v>41548</v>
          </cell>
          <cell r="G381" t="str">
            <v>07</v>
          </cell>
          <cell r="H381" t="str">
            <v>FGTJ09</v>
          </cell>
          <cell r="I381" t="str">
            <v>Básico</v>
          </cell>
          <cell r="J381">
            <v>2634.12</v>
          </cell>
        </row>
        <row r="382">
          <cell r="A382" t="str">
            <v>TV COMISS TRIB JUST 08 40H</v>
          </cell>
          <cell r="B382" t="str">
            <v>TV COMISS TRIB JUST</v>
          </cell>
          <cell r="C382" t="str">
            <v>Tabela de Valores Funções Gratificadas do Trib. Justiça</v>
          </cell>
          <cell r="D382" t="str">
            <v>40H</v>
          </cell>
          <cell r="E382">
            <v>41548</v>
          </cell>
          <cell r="G382" t="str">
            <v>08</v>
          </cell>
          <cell r="H382" t="str">
            <v>FGTJ10</v>
          </cell>
          <cell r="I382" t="str">
            <v>Básico</v>
          </cell>
          <cell r="J382">
            <v>3683.54</v>
          </cell>
        </row>
        <row r="383">
          <cell r="A383" t="str">
            <v>TV COMISS TRIB JUST 09 40H</v>
          </cell>
          <cell r="B383" t="str">
            <v>TV COMISS TRIB JUST</v>
          </cell>
          <cell r="C383" t="str">
            <v>Tabela de Valores Funções Gratificadas do Trib. Justiça</v>
          </cell>
          <cell r="D383" t="str">
            <v>40H</v>
          </cell>
          <cell r="E383">
            <v>41548</v>
          </cell>
          <cell r="G383" t="str">
            <v>09</v>
          </cell>
          <cell r="H383" t="str">
            <v>FGTJ11</v>
          </cell>
          <cell r="I383" t="str">
            <v>Básico</v>
          </cell>
          <cell r="J383">
            <v>3970.11</v>
          </cell>
        </row>
        <row r="384">
          <cell r="A384" t="str">
            <v>TV COMISS TRIB JUST 10 40H</v>
          </cell>
          <cell r="B384" t="str">
            <v>TV COMISS TRIB JUST</v>
          </cell>
          <cell r="C384" t="str">
            <v>Tabela de Valores Funções Gratificadas do Trib. Justiça</v>
          </cell>
          <cell r="D384" t="str">
            <v>40H</v>
          </cell>
          <cell r="E384">
            <v>41548</v>
          </cell>
          <cell r="G384" t="str">
            <v>10</v>
          </cell>
          <cell r="H384" t="str">
            <v>FGTJ12</v>
          </cell>
          <cell r="I384" t="str">
            <v>Básico</v>
          </cell>
          <cell r="J384">
            <v>4142.74</v>
          </cell>
        </row>
        <row r="385">
          <cell r="A385" t="str">
            <v>TV COMISS TRIB JUST 11 40H</v>
          </cell>
          <cell r="B385" t="str">
            <v>TV COMISS TRIB JUST</v>
          </cell>
          <cell r="C385" t="str">
            <v>Tabela de Valores Funções Gratificadas do Trib. Justiça</v>
          </cell>
          <cell r="D385" t="str">
            <v>40H</v>
          </cell>
          <cell r="E385">
            <v>41548</v>
          </cell>
          <cell r="G385" t="str">
            <v>11</v>
          </cell>
          <cell r="H385" t="str">
            <v>FGPJ-B</v>
          </cell>
          <cell r="I385" t="str">
            <v>Básico</v>
          </cell>
          <cell r="J385">
            <v>218.55</v>
          </cell>
        </row>
        <row r="386">
          <cell r="A386" t="str">
            <v>TV COMISS TRIB JUST 12 40H</v>
          </cell>
          <cell r="B386" t="str">
            <v>TV COMISS TRIB JUST</v>
          </cell>
          <cell r="C386" t="str">
            <v>Tabela de Valores Funções Gratificadas do Trib. Justiça</v>
          </cell>
          <cell r="D386" t="str">
            <v>40H</v>
          </cell>
          <cell r="E386">
            <v>41548</v>
          </cell>
          <cell r="G386" t="str">
            <v>12</v>
          </cell>
          <cell r="H386" t="str">
            <v>FGPJ-D</v>
          </cell>
          <cell r="I386" t="str">
            <v>Básico</v>
          </cell>
          <cell r="J386">
            <v>890.26</v>
          </cell>
        </row>
        <row r="387">
          <cell r="A387" t="str">
            <v>TV COMISS TRIB JUST 13 40H</v>
          </cell>
          <cell r="B387" t="str">
            <v>TV COMISS TRIB JUST</v>
          </cell>
          <cell r="C387" t="str">
            <v>Tabela de Valores Funções Gratificadas do Trib. Justiça</v>
          </cell>
          <cell r="D387" t="str">
            <v>40H</v>
          </cell>
          <cell r="E387">
            <v>41548</v>
          </cell>
          <cell r="G387" t="str">
            <v>13</v>
          </cell>
          <cell r="H387" t="str">
            <v>FG-CCTJ-11</v>
          </cell>
          <cell r="I387" t="str">
            <v>Básico</v>
          </cell>
          <cell r="J387">
            <v>11357.92</v>
          </cell>
        </row>
        <row r="388">
          <cell r="A388" t="str">
            <v>TV DEFENSORES 01 40H</v>
          </cell>
          <cell r="B388" t="str">
            <v>TV DEFENSORES</v>
          </cell>
          <cell r="C388" t="str">
            <v>Tabela de Valores Defensores Publicos do Estado</v>
          </cell>
          <cell r="D388" t="str">
            <v>40H</v>
          </cell>
          <cell r="E388">
            <v>41640</v>
          </cell>
          <cell r="G388" t="str">
            <v>01</v>
          </cell>
          <cell r="H388" t="str">
            <v>Inicial</v>
          </cell>
          <cell r="I388" t="str">
            <v>Básico</v>
          </cell>
          <cell r="J388">
            <v>7995.06</v>
          </cell>
          <cell r="K388" t="str">
            <v>Subsídio</v>
          </cell>
          <cell r="L388">
            <v>19383.86</v>
          </cell>
        </row>
        <row r="389">
          <cell r="A389" t="str">
            <v>TV DEFENSORES 02 40H</v>
          </cell>
          <cell r="B389" t="str">
            <v>TV DEFENSORES</v>
          </cell>
          <cell r="C389" t="str">
            <v>Tabela de Valores Defensores Publicos do Estado</v>
          </cell>
          <cell r="D389" t="str">
            <v>40H</v>
          </cell>
          <cell r="E389">
            <v>41640</v>
          </cell>
          <cell r="G389" t="str">
            <v>02</v>
          </cell>
          <cell r="H389" t="str">
            <v>Intermediaria</v>
          </cell>
          <cell r="I389" t="str">
            <v>Básico</v>
          </cell>
          <cell r="J389">
            <v>8494.74</v>
          </cell>
          <cell r="K389" t="str">
            <v>Subsídio</v>
          </cell>
          <cell r="L389">
            <v>21537.63</v>
          </cell>
        </row>
        <row r="390">
          <cell r="A390" t="str">
            <v>TV DEFENSORES 03 40H</v>
          </cell>
          <cell r="B390" t="str">
            <v>TV DEFENSORES</v>
          </cell>
          <cell r="C390" t="str">
            <v>Tabela de Valores Defensores Publicos do Estado</v>
          </cell>
          <cell r="D390" t="str">
            <v>40H</v>
          </cell>
          <cell r="E390">
            <v>41640</v>
          </cell>
          <cell r="G390" t="str">
            <v>03</v>
          </cell>
          <cell r="H390" t="str">
            <v>Final</v>
          </cell>
          <cell r="I390" t="str">
            <v>Básico</v>
          </cell>
          <cell r="J390">
            <v>8994.44</v>
          </cell>
          <cell r="K390" t="str">
            <v>Subsídio</v>
          </cell>
          <cell r="L390">
            <v>23930.71</v>
          </cell>
        </row>
        <row r="391">
          <cell r="A391" t="str">
            <v>TV DEFENSORES 04 40H</v>
          </cell>
          <cell r="B391" t="str">
            <v>TV DEFENSORES</v>
          </cell>
          <cell r="C391" t="str">
            <v>Tabela de Valores Defensores Publicos do Estado</v>
          </cell>
          <cell r="D391" t="str">
            <v>40H</v>
          </cell>
          <cell r="E391">
            <v>41640</v>
          </cell>
          <cell r="G391" t="str">
            <v>04</v>
          </cell>
          <cell r="H391" t="str">
            <v>Especial</v>
          </cell>
          <cell r="I391" t="str">
            <v>Básico</v>
          </cell>
          <cell r="J391">
            <v>9494.12</v>
          </cell>
          <cell r="K391" t="str">
            <v>Subsídio</v>
          </cell>
          <cell r="L391">
            <v>26589.68</v>
          </cell>
        </row>
        <row r="392">
          <cell r="A392" t="str">
            <v>TV DEFENSORES 05 40H</v>
          </cell>
          <cell r="B392" t="str">
            <v>TV DEFENSORES</v>
          </cell>
          <cell r="C392" t="str">
            <v>Tabela de Valores Defensores Publicos do Estado</v>
          </cell>
          <cell r="D392" t="str">
            <v>40H</v>
          </cell>
          <cell r="E392">
            <v>41640</v>
          </cell>
          <cell r="G392" t="str">
            <v>05</v>
          </cell>
          <cell r="H392" t="str">
            <v>Def.Públ.-Geral</v>
          </cell>
          <cell r="I392" t="str">
            <v>Básico</v>
          </cell>
          <cell r="J392">
            <v>9993.82</v>
          </cell>
          <cell r="K392" t="str">
            <v>Subsídio</v>
          </cell>
          <cell r="L392">
            <v>0</v>
          </cell>
        </row>
        <row r="393">
          <cell r="A393" t="str">
            <v>TV DIR AUTARQUIA 01 40H</v>
          </cell>
          <cell r="B393" t="str">
            <v>TV DIR AUTARQUIA</v>
          </cell>
          <cell r="C393" t="str">
            <v>Tabela de Valores Dirigentes de Autarquias</v>
          </cell>
          <cell r="D393" t="str">
            <v>40H</v>
          </cell>
          <cell r="E393">
            <v>41091</v>
          </cell>
          <cell r="G393" t="str">
            <v>01</v>
          </cell>
          <cell r="H393" t="str">
            <v>Presidente - Cat A</v>
          </cell>
          <cell r="I393" t="str">
            <v>Básico</v>
          </cell>
          <cell r="J393">
            <v>0</v>
          </cell>
          <cell r="K393" t="str">
            <v>Representação</v>
          </cell>
          <cell r="L393">
            <v>0</v>
          </cell>
        </row>
        <row r="394">
          <cell r="A394" t="str">
            <v>TV DIR AUTARQUIA 02 40H</v>
          </cell>
          <cell r="B394" t="str">
            <v>TV DIR AUTARQUIA</v>
          </cell>
          <cell r="C394" t="str">
            <v>Tabela de Valores Dirigentes de Autarquias</v>
          </cell>
          <cell r="D394" t="str">
            <v>40H</v>
          </cell>
          <cell r="E394">
            <v>41091</v>
          </cell>
          <cell r="G394" t="str">
            <v>02</v>
          </cell>
          <cell r="H394" t="str">
            <v>Presidente - Cat B</v>
          </cell>
          <cell r="I394" t="str">
            <v>Básico</v>
          </cell>
          <cell r="J394">
            <v>0</v>
          </cell>
          <cell r="K394" t="str">
            <v>Representação</v>
          </cell>
          <cell r="L394">
            <v>0</v>
          </cell>
        </row>
        <row r="395">
          <cell r="A395" t="str">
            <v>TV DIR AUTARQUIA 03 40H</v>
          </cell>
          <cell r="B395" t="str">
            <v>TV DIR AUTARQUIA</v>
          </cell>
          <cell r="C395" t="str">
            <v>Tabela de Valores Dirigentes de Autarquias</v>
          </cell>
          <cell r="D395" t="str">
            <v>40H</v>
          </cell>
          <cell r="E395">
            <v>41091</v>
          </cell>
          <cell r="G395" t="str">
            <v>03</v>
          </cell>
          <cell r="H395" t="str">
            <v>Presidente - Cat C</v>
          </cell>
          <cell r="I395" t="str">
            <v>Básico</v>
          </cell>
          <cell r="J395">
            <v>0</v>
          </cell>
          <cell r="K395" t="str">
            <v>Representação</v>
          </cell>
          <cell r="L395">
            <v>0</v>
          </cell>
        </row>
        <row r="396">
          <cell r="A396" t="str">
            <v>TV DIR AUTARQUIA 04 40H</v>
          </cell>
          <cell r="B396" t="str">
            <v>TV DIR AUTARQUIA</v>
          </cell>
          <cell r="C396" t="str">
            <v>Tabela de Valores Dirigentes de Autarquias</v>
          </cell>
          <cell r="D396" t="str">
            <v>40H</v>
          </cell>
          <cell r="E396">
            <v>41091</v>
          </cell>
          <cell r="G396" t="str">
            <v>04</v>
          </cell>
          <cell r="H396" t="str">
            <v>Vice-Presid - Cat C</v>
          </cell>
          <cell r="I396" t="str">
            <v>Básico</v>
          </cell>
          <cell r="J396">
            <v>0</v>
          </cell>
          <cell r="K396" t="str">
            <v>Representação</v>
          </cell>
          <cell r="L396">
            <v>0</v>
          </cell>
        </row>
        <row r="397">
          <cell r="A397" t="str">
            <v>TV DIR AUTARQUIA 05 40H</v>
          </cell>
          <cell r="B397" t="str">
            <v>TV DIR AUTARQUIA</v>
          </cell>
          <cell r="C397" t="str">
            <v>Tabela de Valores Dirigentes de Autarquias</v>
          </cell>
          <cell r="D397" t="str">
            <v>40H</v>
          </cell>
          <cell r="E397">
            <v>41091</v>
          </cell>
          <cell r="G397" t="str">
            <v>05</v>
          </cell>
          <cell r="H397" t="str">
            <v>Diretor - Cat A</v>
          </cell>
          <cell r="I397" t="str">
            <v>Básico</v>
          </cell>
          <cell r="J397">
            <v>0</v>
          </cell>
          <cell r="K397" t="str">
            <v>Representação</v>
          </cell>
          <cell r="L397">
            <v>0</v>
          </cell>
        </row>
        <row r="398">
          <cell r="A398" t="str">
            <v>TV DIR AUTARQUIA 06 40H</v>
          </cell>
          <cell r="B398" t="str">
            <v>TV DIR AUTARQUIA</v>
          </cell>
          <cell r="C398" t="str">
            <v>Tabela de Valores Dirigentes de Autarquias</v>
          </cell>
          <cell r="D398" t="str">
            <v>40H</v>
          </cell>
          <cell r="E398">
            <v>41091</v>
          </cell>
          <cell r="G398" t="str">
            <v>06</v>
          </cell>
          <cell r="H398" t="str">
            <v>Diretor - Cat B</v>
          </cell>
          <cell r="I398" t="str">
            <v>Básico</v>
          </cell>
          <cell r="J398">
            <v>0</v>
          </cell>
          <cell r="K398" t="str">
            <v>Representação</v>
          </cell>
          <cell r="L398">
            <v>0</v>
          </cell>
        </row>
        <row r="399">
          <cell r="A399" t="str">
            <v>TV DIR AUTARQUIA 07 40H</v>
          </cell>
          <cell r="B399" t="str">
            <v>TV DIR AUTARQUIA</v>
          </cell>
          <cell r="C399" t="str">
            <v>Tabela de Valores Dirigentes de Autarquias</v>
          </cell>
          <cell r="D399" t="str">
            <v>40H</v>
          </cell>
          <cell r="E399">
            <v>41091</v>
          </cell>
          <cell r="G399" t="str">
            <v>07</v>
          </cell>
          <cell r="H399" t="str">
            <v>Diretor - Cat C</v>
          </cell>
          <cell r="I399" t="str">
            <v>Básico</v>
          </cell>
          <cell r="J399">
            <v>0</v>
          </cell>
          <cell r="K399" t="str">
            <v>Representação</v>
          </cell>
          <cell r="L399">
            <v>0</v>
          </cell>
        </row>
        <row r="400">
          <cell r="A400" t="str">
            <v>TV DIR AUTARQUIA 08 40H</v>
          </cell>
          <cell r="B400" t="str">
            <v>TV DIR AUTARQUIA</v>
          </cell>
          <cell r="C400" t="str">
            <v>Tabela de Valores Dirigentes de Autarquias</v>
          </cell>
          <cell r="D400" t="str">
            <v>40H</v>
          </cell>
          <cell r="E400">
            <v>41091</v>
          </cell>
          <cell r="G400" t="str">
            <v>08</v>
          </cell>
          <cell r="H400" t="str">
            <v>Presidente - Cat A</v>
          </cell>
          <cell r="I400" t="str">
            <v>Básico</v>
          </cell>
          <cell r="J400">
            <v>3400</v>
          </cell>
          <cell r="K400" t="str">
            <v>Representação</v>
          </cell>
          <cell r="L400">
            <v>5100</v>
          </cell>
        </row>
        <row r="401">
          <cell r="A401" t="str">
            <v>TV DIR AUTARQUIA 09 40H</v>
          </cell>
          <cell r="B401" t="str">
            <v>TV DIR AUTARQUIA</v>
          </cell>
          <cell r="C401" t="str">
            <v>Tabela de Valores Dirigentes de Autarquias</v>
          </cell>
          <cell r="D401" t="str">
            <v>40H</v>
          </cell>
          <cell r="E401">
            <v>41091</v>
          </cell>
          <cell r="G401" t="str">
            <v>09</v>
          </cell>
          <cell r="H401" t="str">
            <v>Presidente - Cat B</v>
          </cell>
          <cell r="I401" t="str">
            <v>Básico</v>
          </cell>
          <cell r="J401">
            <v>4000</v>
          </cell>
          <cell r="K401" t="str">
            <v>Representação</v>
          </cell>
          <cell r="L401">
            <v>6000</v>
          </cell>
        </row>
        <row r="402">
          <cell r="A402" t="str">
            <v>TV DIR AUTARQUIA 10 40H</v>
          </cell>
          <cell r="B402" t="str">
            <v>TV DIR AUTARQUIA</v>
          </cell>
          <cell r="C402" t="str">
            <v>Tabela de Valores Dirigentes de Autarquias</v>
          </cell>
          <cell r="D402" t="str">
            <v>40H</v>
          </cell>
          <cell r="E402">
            <v>41091</v>
          </cell>
          <cell r="G402" t="str">
            <v>10</v>
          </cell>
          <cell r="H402" t="str">
            <v>Vice-Presid - Cat B</v>
          </cell>
          <cell r="I402" t="str">
            <v>Básico</v>
          </cell>
          <cell r="J402">
            <v>3600</v>
          </cell>
          <cell r="K402" t="str">
            <v>Representação</v>
          </cell>
          <cell r="L402">
            <v>5400</v>
          </cell>
        </row>
        <row r="403">
          <cell r="A403" t="str">
            <v>TV DIR AUTARQUIA 11 40H</v>
          </cell>
          <cell r="B403" t="str">
            <v>TV DIR AUTARQUIA</v>
          </cell>
          <cell r="C403" t="str">
            <v>Tabela de Valores Dirigentes de Autarquias</v>
          </cell>
          <cell r="D403" t="str">
            <v>40H</v>
          </cell>
          <cell r="E403">
            <v>41091</v>
          </cell>
          <cell r="G403" t="str">
            <v>11</v>
          </cell>
          <cell r="H403" t="str">
            <v>Diretor - Cat A</v>
          </cell>
          <cell r="I403" t="str">
            <v>Básico</v>
          </cell>
          <cell r="J403">
            <v>2720</v>
          </cell>
          <cell r="K403" t="str">
            <v>Representação</v>
          </cell>
          <cell r="L403">
            <v>4080</v>
          </cell>
        </row>
        <row r="404">
          <cell r="A404" t="str">
            <v>TV DIR AUTARQUIA 12 40H</v>
          </cell>
          <cell r="B404" t="str">
            <v>TV DIR AUTARQUIA</v>
          </cell>
          <cell r="C404" t="str">
            <v>Tabela de Valores Dirigentes de Autarquias</v>
          </cell>
          <cell r="D404" t="str">
            <v>40H</v>
          </cell>
          <cell r="E404">
            <v>41091</v>
          </cell>
          <cell r="G404" t="str">
            <v>12</v>
          </cell>
          <cell r="H404" t="str">
            <v>Diretor - Cat B</v>
          </cell>
          <cell r="I404" t="str">
            <v>Básico</v>
          </cell>
          <cell r="J404">
            <v>3400</v>
          </cell>
          <cell r="K404" t="str">
            <v>Representação</v>
          </cell>
          <cell r="L404">
            <v>5100</v>
          </cell>
        </row>
        <row r="405">
          <cell r="A405" t="str">
            <v>TV DIR AUTARQUIA 13 40H</v>
          </cell>
          <cell r="B405" t="str">
            <v>TV DIR AUTARQUIA</v>
          </cell>
          <cell r="C405" t="str">
            <v>Tabela de Valores Dirigentes de Autarquias</v>
          </cell>
          <cell r="D405" t="str">
            <v>40H</v>
          </cell>
          <cell r="E405">
            <v>41091</v>
          </cell>
          <cell r="G405" t="str">
            <v>13</v>
          </cell>
          <cell r="H405" t="str">
            <v>Presidente - Cat Especial</v>
          </cell>
          <cell r="I405" t="str">
            <v>Básico</v>
          </cell>
          <cell r="J405">
            <v>10000</v>
          </cell>
          <cell r="K405" t="str">
            <v>Representação</v>
          </cell>
          <cell r="L405">
            <v>14000</v>
          </cell>
        </row>
        <row r="406">
          <cell r="A406" t="str">
            <v>TV DIR AUTARQUIA 14 40H</v>
          </cell>
          <cell r="B406" t="str">
            <v>TV DIR AUTARQUIA</v>
          </cell>
          <cell r="C406" t="str">
            <v>Tabela de Valores Dirigentes de Autarquias</v>
          </cell>
          <cell r="D406" t="str">
            <v>40H</v>
          </cell>
          <cell r="E406">
            <v>41091</v>
          </cell>
          <cell r="G406" t="str">
            <v>14</v>
          </cell>
          <cell r="H406" t="str">
            <v>Vice-Presid - Cat Especial</v>
          </cell>
          <cell r="I406" t="str">
            <v>Básico</v>
          </cell>
          <cell r="J406">
            <v>9500</v>
          </cell>
          <cell r="K406" t="str">
            <v>Representação</v>
          </cell>
          <cell r="L406">
            <v>13500</v>
          </cell>
        </row>
        <row r="407">
          <cell r="A407" t="str">
            <v>TV DIR AUTARQUIA 15 40H</v>
          </cell>
          <cell r="B407" t="str">
            <v>TV DIR AUTARQUIA</v>
          </cell>
          <cell r="C407" t="str">
            <v>Tabela de Valores Dirigentes de Autarquias</v>
          </cell>
          <cell r="D407" t="str">
            <v>40H</v>
          </cell>
          <cell r="E407">
            <v>41091</v>
          </cell>
          <cell r="G407" t="str">
            <v>15</v>
          </cell>
          <cell r="H407" t="str">
            <v>Diretor - Cat Especial</v>
          </cell>
          <cell r="I407" t="str">
            <v>Básico</v>
          </cell>
          <cell r="J407">
            <v>8000</v>
          </cell>
          <cell r="K407" t="str">
            <v>Representação</v>
          </cell>
          <cell r="L407">
            <v>12000</v>
          </cell>
        </row>
        <row r="408">
          <cell r="A408" t="str">
            <v>TV DIR FUNDAÇÃO 01 40H</v>
          </cell>
          <cell r="B408" t="str">
            <v>TV DIR FUNDAÇÃO</v>
          </cell>
          <cell r="C408" t="str">
            <v>Tabela de Valores Dirigentes de Fundações</v>
          </cell>
          <cell r="D408" t="str">
            <v>40H</v>
          </cell>
          <cell r="E408">
            <v>40144</v>
          </cell>
          <cell r="G408" t="str">
            <v>01</v>
          </cell>
          <cell r="H408" t="str">
            <v>Presidente - Cat A</v>
          </cell>
          <cell r="I408" t="str">
            <v>Básico</v>
          </cell>
          <cell r="J408">
            <v>3400</v>
          </cell>
          <cell r="K408" t="str">
            <v>Representação</v>
          </cell>
          <cell r="L408">
            <v>5100</v>
          </cell>
        </row>
        <row r="409">
          <cell r="A409" t="str">
            <v>TV DIR FUNDAÇÃO 02 40H</v>
          </cell>
          <cell r="B409" t="str">
            <v>TV DIR FUNDAÇÃO</v>
          </cell>
          <cell r="C409" t="str">
            <v>Tabela de Valores Dirigentes de Fundações</v>
          </cell>
          <cell r="D409" t="str">
            <v>40H</v>
          </cell>
          <cell r="E409">
            <v>40144</v>
          </cell>
          <cell r="G409" t="str">
            <v>02</v>
          </cell>
          <cell r="H409" t="str">
            <v>Presidente - Cat B</v>
          </cell>
          <cell r="I409" t="str">
            <v>Básico</v>
          </cell>
          <cell r="J409">
            <v>4000</v>
          </cell>
          <cell r="K409" t="str">
            <v>Representação</v>
          </cell>
          <cell r="L409">
            <v>6000</v>
          </cell>
        </row>
        <row r="410">
          <cell r="A410" t="str">
            <v>TV DIR FUNDAÇÃO 03 40H</v>
          </cell>
          <cell r="B410" t="str">
            <v>TV DIR FUNDAÇÃO</v>
          </cell>
          <cell r="C410" t="str">
            <v>Tabela de Valores Dirigentes de Fundações</v>
          </cell>
          <cell r="D410" t="str">
            <v>40H</v>
          </cell>
          <cell r="E410">
            <v>40144</v>
          </cell>
          <cell r="G410" t="str">
            <v>03</v>
          </cell>
          <cell r="H410" t="str">
            <v>Presidente - Cat C</v>
          </cell>
          <cell r="I410" t="str">
            <v>Básico</v>
          </cell>
          <cell r="J410">
            <v>3095</v>
          </cell>
          <cell r="K410" t="str">
            <v>Representação</v>
          </cell>
          <cell r="L410">
            <v>2532.3</v>
          </cell>
        </row>
        <row r="411">
          <cell r="A411" t="str">
            <v>TV DIR FUNDAÇÃO 04 40H</v>
          </cell>
          <cell r="B411" t="str">
            <v>TV DIR FUNDAÇÃO</v>
          </cell>
          <cell r="C411" t="str">
            <v>Tabela de Valores Dirigentes de Fundações</v>
          </cell>
          <cell r="D411" t="str">
            <v>40H</v>
          </cell>
          <cell r="E411">
            <v>40144</v>
          </cell>
          <cell r="G411" t="str">
            <v>04</v>
          </cell>
          <cell r="H411" t="str">
            <v>Diretor - Cat A</v>
          </cell>
          <cell r="I411" t="str">
            <v>Básico</v>
          </cell>
          <cell r="J411">
            <v>2720</v>
          </cell>
          <cell r="K411" t="str">
            <v>Representação</v>
          </cell>
          <cell r="L411">
            <v>4080</v>
          </cell>
        </row>
        <row r="412">
          <cell r="A412" t="str">
            <v>TV DIR FUNDAÇÃO 05 40H</v>
          </cell>
          <cell r="B412" t="str">
            <v>TV DIR FUNDAÇÃO</v>
          </cell>
          <cell r="C412" t="str">
            <v>Tabela de Valores Dirigentes de Fundações</v>
          </cell>
          <cell r="D412" t="str">
            <v>40H</v>
          </cell>
          <cell r="E412">
            <v>40144</v>
          </cell>
          <cell r="G412" t="str">
            <v>05</v>
          </cell>
          <cell r="H412" t="str">
            <v>Diretor - Cat B</v>
          </cell>
          <cell r="I412" t="str">
            <v>Básico</v>
          </cell>
          <cell r="J412">
            <v>3400</v>
          </cell>
          <cell r="K412" t="str">
            <v>Representação</v>
          </cell>
          <cell r="L412">
            <v>5100</v>
          </cell>
        </row>
        <row r="413">
          <cell r="A413" t="str">
            <v>TV DIR FUNDAÇÃO 06 40H</v>
          </cell>
          <cell r="B413" t="str">
            <v>TV DIR FUNDAÇÃO</v>
          </cell>
          <cell r="C413" t="str">
            <v>Tabela de Valores Dirigentes de Fundações</v>
          </cell>
          <cell r="D413" t="str">
            <v>40H</v>
          </cell>
          <cell r="E413">
            <v>40144</v>
          </cell>
          <cell r="G413" t="str">
            <v>06</v>
          </cell>
          <cell r="H413" t="str">
            <v>Diretor - Cat C</v>
          </cell>
          <cell r="I413" t="str">
            <v>Básico</v>
          </cell>
          <cell r="J413">
            <v>2730.9</v>
          </cell>
          <cell r="K413" t="str">
            <v>Representação</v>
          </cell>
          <cell r="L413">
            <v>2234.3</v>
          </cell>
        </row>
        <row r="414">
          <cell r="A414" t="str">
            <v>TV DIR FUNDAÇÃO 07 40H</v>
          </cell>
          <cell r="B414" t="str">
            <v>TV DIR FUNDAÇÃO</v>
          </cell>
          <cell r="C414" t="str">
            <v>Tabela de Valores Dirigentes de Fundações</v>
          </cell>
          <cell r="D414" t="str">
            <v>40H</v>
          </cell>
          <cell r="E414">
            <v>40144</v>
          </cell>
          <cell r="G414" t="str">
            <v>07</v>
          </cell>
          <cell r="H414" t="str">
            <v>Dir Superintendente - Metroplan</v>
          </cell>
          <cell r="I414" t="str">
            <v>Básico</v>
          </cell>
          <cell r="J414">
            <v>6000</v>
          </cell>
          <cell r="K414" t="str">
            <v>Representação</v>
          </cell>
          <cell r="L414">
            <v>4000</v>
          </cell>
        </row>
        <row r="415">
          <cell r="A415" t="str">
            <v>TV DIR FUNDAÇÃO 08 40H</v>
          </cell>
          <cell r="B415" t="str">
            <v>TV DIR FUNDAÇÃO</v>
          </cell>
          <cell r="C415" t="str">
            <v>Tabela de Valores Dirigentes de Fundações</v>
          </cell>
          <cell r="D415" t="str">
            <v>40H</v>
          </cell>
          <cell r="E415">
            <v>40144</v>
          </cell>
          <cell r="G415" t="str">
            <v>08</v>
          </cell>
          <cell r="H415" t="str">
            <v>Diretor - Metroplan</v>
          </cell>
          <cell r="I415" t="str">
            <v>Básico</v>
          </cell>
          <cell r="J415">
            <v>5100</v>
          </cell>
          <cell r="K415" t="str">
            <v>Representação</v>
          </cell>
          <cell r="L415">
            <v>3400</v>
          </cell>
        </row>
        <row r="416">
          <cell r="A416" t="str">
            <v>TV DPE SERV AUX 01 40H</v>
          </cell>
          <cell r="B416" t="str">
            <v>TV DPE SERV AUX</v>
          </cell>
          <cell r="C416" t="str">
            <v>Tabela de Valores DPE Servidores Serviços Auxiliares</v>
          </cell>
          <cell r="D416" t="str">
            <v>40H</v>
          </cell>
          <cell r="E416">
            <v>40848</v>
          </cell>
          <cell r="G416" t="str">
            <v>01</v>
          </cell>
          <cell r="H416" t="str">
            <v>Técnico Cl A - Pd 01</v>
          </cell>
          <cell r="I416" t="str">
            <v>Básico</v>
          </cell>
          <cell r="J416">
            <v>3000</v>
          </cell>
        </row>
        <row r="417">
          <cell r="A417" t="str">
            <v>TV DPE SERV AUX 02 40H</v>
          </cell>
          <cell r="B417" t="str">
            <v>TV DPE SERV AUX</v>
          </cell>
          <cell r="C417" t="str">
            <v>Tabela de Valores DPE Servidores Serviços Auxiliares</v>
          </cell>
          <cell r="D417" t="str">
            <v>40H</v>
          </cell>
          <cell r="E417">
            <v>40848</v>
          </cell>
          <cell r="G417" t="str">
            <v>02</v>
          </cell>
          <cell r="H417" t="str">
            <v>Técnico Cl A - Pd 02</v>
          </cell>
          <cell r="I417" t="str">
            <v>Básico</v>
          </cell>
          <cell r="J417">
            <v>3090</v>
          </cell>
        </row>
        <row r="418">
          <cell r="A418" t="str">
            <v>TV DPE SERV AUX 03 40H</v>
          </cell>
          <cell r="B418" t="str">
            <v>TV DPE SERV AUX</v>
          </cell>
          <cell r="C418" t="str">
            <v>Tabela de Valores DPE Servidores Serviços Auxiliares</v>
          </cell>
          <cell r="D418" t="str">
            <v>40H</v>
          </cell>
          <cell r="E418">
            <v>40848</v>
          </cell>
          <cell r="G418" t="str">
            <v>03</v>
          </cell>
          <cell r="H418" t="str">
            <v>Técnico Cl A - Pd 03</v>
          </cell>
          <cell r="I418" t="str">
            <v>Básico</v>
          </cell>
          <cell r="J418">
            <v>3182.7</v>
          </cell>
        </row>
        <row r="419">
          <cell r="A419" t="str">
            <v>TV DPE SERV AUX 04 40H</v>
          </cell>
          <cell r="B419" t="str">
            <v>TV DPE SERV AUX</v>
          </cell>
          <cell r="C419" t="str">
            <v>Tabela de Valores DPE Servidores Serviços Auxiliares</v>
          </cell>
          <cell r="D419" t="str">
            <v>40H</v>
          </cell>
          <cell r="E419">
            <v>40848</v>
          </cell>
          <cell r="G419" t="str">
            <v>04</v>
          </cell>
          <cell r="H419" t="str">
            <v>Técnico Cl A - Pd 04</v>
          </cell>
          <cell r="I419" t="str">
            <v>Básico</v>
          </cell>
          <cell r="J419">
            <v>3278.18</v>
          </cell>
        </row>
        <row r="420">
          <cell r="A420" t="str">
            <v>TV DPE SERV AUX 05 40H</v>
          </cell>
          <cell r="B420" t="str">
            <v>TV DPE SERV AUX</v>
          </cell>
          <cell r="C420" t="str">
            <v>Tabela de Valores DPE Servidores Serviços Auxiliares</v>
          </cell>
          <cell r="D420" t="str">
            <v>40H</v>
          </cell>
          <cell r="E420">
            <v>40848</v>
          </cell>
          <cell r="G420" t="str">
            <v>05</v>
          </cell>
          <cell r="H420" t="str">
            <v>Técnico Cl A - Pd 05</v>
          </cell>
          <cell r="I420" t="str">
            <v>Básico</v>
          </cell>
          <cell r="J420">
            <v>3376.53</v>
          </cell>
        </row>
        <row r="421">
          <cell r="A421" t="str">
            <v>TV DPE SERV AUX 06 40H</v>
          </cell>
          <cell r="B421" t="str">
            <v>TV DPE SERV AUX</v>
          </cell>
          <cell r="C421" t="str">
            <v>Tabela de Valores DPE Servidores Serviços Auxiliares</v>
          </cell>
          <cell r="D421" t="str">
            <v>40H</v>
          </cell>
          <cell r="E421">
            <v>40848</v>
          </cell>
          <cell r="G421" t="str">
            <v>06</v>
          </cell>
          <cell r="H421" t="str">
            <v>Técnico Cl B - Pd 06</v>
          </cell>
          <cell r="I421" t="str">
            <v>Básico</v>
          </cell>
          <cell r="J421">
            <v>3579.12</v>
          </cell>
        </row>
        <row r="422">
          <cell r="A422" t="str">
            <v>TV DPE SERV AUX 07 40H</v>
          </cell>
          <cell r="B422" t="str">
            <v>TV DPE SERV AUX</v>
          </cell>
          <cell r="C422" t="str">
            <v>Tabela de Valores DPE Servidores Serviços Auxiliares</v>
          </cell>
          <cell r="D422" t="str">
            <v>40H</v>
          </cell>
          <cell r="E422">
            <v>40848</v>
          </cell>
          <cell r="G422" t="str">
            <v>07</v>
          </cell>
          <cell r="H422" t="str">
            <v>Técnico Cl B - Pd 07</v>
          </cell>
          <cell r="I422" t="str">
            <v>Básico</v>
          </cell>
          <cell r="J422">
            <v>3686.49</v>
          </cell>
        </row>
        <row r="423">
          <cell r="A423" t="str">
            <v>TV DPE SERV AUX 08 40H</v>
          </cell>
          <cell r="B423" t="str">
            <v>TV DPE SERV AUX</v>
          </cell>
          <cell r="C423" t="str">
            <v>Tabela de Valores DPE Servidores Serviços Auxiliares</v>
          </cell>
          <cell r="D423" t="str">
            <v>40H</v>
          </cell>
          <cell r="E423">
            <v>40848</v>
          </cell>
          <cell r="G423" t="str">
            <v>08</v>
          </cell>
          <cell r="H423" t="str">
            <v>Técnico Cl B - Pd 08</v>
          </cell>
          <cell r="I423" t="str">
            <v>Básico</v>
          </cell>
          <cell r="J423">
            <v>3797.09</v>
          </cell>
        </row>
        <row r="424">
          <cell r="A424" t="str">
            <v>TV DPE SERV AUX 09 40H</v>
          </cell>
          <cell r="B424" t="str">
            <v>TV DPE SERV AUX</v>
          </cell>
          <cell r="C424" t="str">
            <v>Tabela de Valores DPE Servidores Serviços Auxiliares</v>
          </cell>
          <cell r="D424" t="str">
            <v>40H</v>
          </cell>
          <cell r="E424">
            <v>40848</v>
          </cell>
          <cell r="G424" t="str">
            <v>09</v>
          </cell>
          <cell r="H424" t="str">
            <v>Técnico Cl B - Pd 09</v>
          </cell>
          <cell r="I424" t="str">
            <v>Básico</v>
          </cell>
          <cell r="J424">
            <v>3911</v>
          </cell>
        </row>
        <row r="425">
          <cell r="A425" t="str">
            <v>TV DPE SERV AUX 10 40H</v>
          </cell>
          <cell r="B425" t="str">
            <v>TV DPE SERV AUX</v>
          </cell>
          <cell r="C425" t="str">
            <v>Tabela de Valores DPE Servidores Serviços Auxiliares</v>
          </cell>
          <cell r="D425" t="str">
            <v>40H</v>
          </cell>
          <cell r="E425">
            <v>40848</v>
          </cell>
          <cell r="G425" t="str">
            <v>10</v>
          </cell>
          <cell r="H425" t="str">
            <v>Técnico Cl B - Pd 10</v>
          </cell>
          <cell r="I425" t="str">
            <v>Básico</v>
          </cell>
          <cell r="J425">
            <v>4028.33</v>
          </cell>
        </row>
        <row r="426">
          <cell r="A426" t="str">
            <v>TV DPE SERV AUX 11 40H</v>
          </cell>
          <cell r="B426" t="str">
            <v>TV DPE SERV AUX</v>
          </cell>
          <cell r="C426" t="str">
            <v>Tabela de Valores DPE Servidores Serviços Auxiliares</v>
          </cell>
          <cell r="D426" t="str">
            <v>40H</v>
          </cell>
          <cell r="E426">
            <v>40848</v>
          </cell>
          <cell r="G426" t="str">
            <v>11</v>
          </cell>
          <cell r="H426" t="str">
            <v>Técnico Cl C - Pd 11</v>
          </cell>
          <cell r="I426" t="str">
            <v>Básico</v>
          </cell>
          <cell r="J426">
            <v>4270.03</v>
          </cell>
        </row>
        <row r="427">
          <cell r="A427" t="str">
            <v>TV DPE SERV AUX 12 40H</v>
          </cell>
          <cell r="B427" t="str">
            <v>TV DPE SERV AUX</v>
          </cell>
          <cell r="C427" t="str">
            <v>Tabela de Valores DPE Servidores Serviços Auxiliares</v>
          </cell>
          <cell r="D427" t="str">
            <v>40H</v>
          </cell>
          <cell r="E427">
            <v>40848</v>
          </cell>
          <cell r="G427" t="str">
            <v>12</v>
          </cell>
          <cell r="H427" t="str">
            <v>Técnico Cl C - Pd 12</v>
          </cell>
          <cell r="I427" t="str">
            <v>Básico</v>
          </cell>
          <cell r="J427">
            <v>4398.13</v>
          </cell>
        </row>
        <row r="428">
          <cell r="A428" t="str">
            <v>TV DPE SERV AUX 13 40H</v>
          </cell>
          <cell r="B428" t="str">
            <v>TV DPE SERV AUX</v>
          </cell>
          <cell r="C428" t="str">
            <v>Tabela de Valores DPE Servidores Serviços Auxiliares</v>
          </cell>
          <cell r="D428" t="str">
            <v>40H</v>
          </cell>
          <cell r="E428">
            <v>40848</v>
          </cell>
          <cell r="G428" t="str">
            <v>13</v>
          </cell>
          <cell r="H428" t="str">
            <v>Técnico Cl C - Pd 13</v>
          </cell>
          <cell r="I428" t="str">
            <v>Básico</v>
          </cell>
          <cell r="J428">
            <v>4530.07</v>
          </cell>
        </row>
        <row r="429">
          <cell r="A429" t="str">
            <v>TV DPE SERV AUX 14 40H</v>
          </cell>
          <cell r="B429" t="str">
            <v>TV DPE SERV AUX</v>
          </cell>
          <cell r="C429" t="str">
            <v>Tabela de Valores DPE Servidores Serviços Auxiliares</v>
          </cell>
          <cell r="D429" t="str">
            <v>40H</v>
          </cell>
          <cell r="E429">
            <v>40848</v>
          </cell>
          <cell r="G429" t="str">
            <v>14</v>
          </cell>
          <cell r="H429" t="str">
            <v>Técnico Cl C - Pd 14</v>
          </cell>
          <cell r="I429" t="str">
            <v>Básico</v>
          </cell>
          <cell r="J429">
            <v>4665.98</v>
          </cell>
        </row>
        <row r="430">
          <cell r="A430" t="str">
            <v>TV DPE SERV AUX 15 40H</v>
          </cell>
          <cell r="B430" t="str">
            <v>TV DPE SERV AUX</v>
          </cell>
          <cell r="C430" t="str">
            <v>Tabela de Valores DPE Servidores Serviços Auxiliares</v>
          </cell>
          <cell r="D430" t="str">
            <v>40H</v>
          </cell>
          <cell r="E430">
            <v>40848</v>
          </cell>
          <cell r="G430" t="str">
            <v>15</v>
          </cell>
          <cell r="H430" t="str">
            <v>Técnico Cl C - Pd 15</v>
          </cell>
          <cell r="I430" t="str">
            <v>Básico</v>
          </cell>
          <cell r="J430">
            <v>4805.95</v>
          </cell>
        </row>
        <row r="431">
          <cell r="A431" t="str">
            <v>TV DPE SERV AUX 16 40H</v>
          </cell>
          <cell r="B431" t="str">
            <v>TV DPE SERV AUX</v>
          </cell>
          <cell r="C431" t="str">
            <v>Tabela de Valores DPE Servidores Serviços Auxiliares</v>
          </cell>
          <cell r="D431" t="str">
            <v>40H</v>
          </cell>
          <cell r="E431">
            <v>40848</v>
          </cell>
          <cell r="G431" t="str">
            <v>16</v>
          </cell>
          <cell r="H431" t="str">
            <v>Analista Cl A - Pd 01</v>
          </cell>
          <cell r="I431" t="str">
            <v>Básico</v>
          </cell>
          <cell r="J431">
            <v>5500</v>
          </cell>
        </row>
        <row r="432">
          <cell r="A432" t="str">
            <v>TV DPE SERV AUX 17 40H</v>
          </cell>
          <cell r="B432" t="str">
            <v>TV DPE SERV AUX</v>
          </cell>
          <cell r="C432" t="str">
            <v>Tabela de Valores DPE Servidores Serviços Auxiliares</v>
          </cell>
          <cell r="D432" t="str">
            <v>40H</v>
          </cell>
          <cell r="E432">
            <v>40848</v>
          </cell>
          <cell r="G432" t="str">
            <v>17</v>
          </cell>
          <cell r="H432" t="str">
            <v>Analista Cl A - Pd 02</v>
          </cell>
          <cell r="I432" t="str">
            <v>Básico</v>
          </cell>
          <cell r="J432">
            <v>5665</v>
          </cell>
        </row>
        <row r="433">
          <cell r="A433" t="str">
            <v>TV DPE SERV AUX 18 40H</v>
          </cell>
          <cell r="B433" t="str">
            <v>TV DPE SERV AUX</v>
          </cell>
          <cell r="C433" t="str">
            <v>Tabela de Valores DPE Servidores Serviços Auxiliares</v>
          </cell>
          <cell r="D433" t="str">
            <v>40H</v>
          </cell>
          <cell r="E433">
            <v>40848</v>
          </cell>
          <cell r="G433" t="str">
            <v>18</v>
          </cell>
          <cell r="H433" t="str">
            <v>Analista Cl A - Pd 03</v>
          </cell>
          <cell r="I433" t="str">
            <v>Básico</v>
          </cell>
          <cell r="J433">
            <v>5834.95</v>
          </cell>
        </row>
        <row r="434">
          <cell r="A434" t="str">
            <v>TV DPE SERV AUX 19 40H</v>
          </cell>
          <cell r="B434" t="str">
            <v>TV DPE SERV AUX</v>
          </cell>
          <cell r="C434" t="str">
            <v>Tabela de Valores DPE Servidores Serviços Auxiliares</v>
          </cell>
          <cell r="D434" t="str">
            <v>40H</v>
          </cell>
          <cell r="E434">
            <v>40848</v>
          </cell>
          <cell r="G434" t="str">
            <v>19</v>
          </cell>
          <cell r="H434" t="str">
            <v>Analista Cl A - Pd 04</v>
          </cell>
          <cell r="I434" t="str">
            <v>Básico</v>
          </cell>
          <cell r="J434">
            <v>6010</v>
          </cell>
        </row>
        <row r="435">
          <cell r="A435" t="str">
            <v>TV DPE SERV AUX 20 40H</v>
          </cell>
          <cell r="B435" t="str">
            <v>TV DPE SERV AUX</v>
          </cell>
          <cell r="C435" t="str">
            <v>Tabela de Valores DPE Servidores Serviços Auxiliares</v>
          </cell>
          <cell r="D435" t="str">
            <v>40H</v>
          </cell>
          <cell r="E435">
            <v>40848</v>
          </cell>
          <cell r="G435" t="str">
            <v>20</v>
          </cell>
          <cell r="H435" t="str">
            <v>Analista Cl A - Pd 05</v>
          </cell>
          <cell r="I435" t="str">
            <v>Básico</v>
          </cell>
          <cell r="J435">
            <v>6190.3</v>
          </cell>
        </row>
        <row r="436">
          <cell r="A436" t="str">
            <v>TV DPE SERV AUX 21 40H</v>
          </cell>
          <cell r="B436" t="str">
            <v>TV DPE SERV AUX</v>
          </cell>
          <cell r="C436" t="str">
            <v>Tabela de Valores DPE Servidores Serviços Auxiliares</v>
          </cell>
          <cell r="D436" t="str">
            <v>40H</v>
          </cell>
          <cell r="E436">
            <v>40848</v>
          </cell>
          <cell r="G436" t="str">
            <v>21</v>
          </cell>
          <cell r="H436" t="str">
            <v>Analista Cl B - Pd 06</v>
          </cell>
          <cell r="I436" t="str">
            <v>Básico</v>
          </cell>
          <cell r="J436">
            <v>6561.72</v>
          </cell>
        </row>
        <row r="437">
          <cell r="A437" t="str">
            <v>TV DPE SERV AUX 22 40H</v>
          </cell>
          <cell r="B437" t="str">
            <v>TV DPE SERV AUX</v>
          </cell>
          <cell r="C437" t="str">
            <v>Tabela de Valores DPE Servidores Serviços Auxiliares</v>
          </cell>
          <cell r="D437" t="str">
            <v>40H</v>
          </cell>
          <cell r="E437">
            <v>40848</v>
          </cell>
          <cell r="G437" t="str">
            <v>22</v>
          </cell>
          <cell r="H437" t="str">
            <v>Analista Cl B - Pd 07</v>
          </cell>
          <cell r="I437" t="str">
            <v>Básico</v>
          </cell>
          <cell r="J437">
            <v>6758.57</v>
          </cell>
        </row>
        <row r="438">
          <cell r="A438" t="str">
            <v>TV DPE SERV AUX 23 40H</v>
          </cell>
          <cell r="B438" t="str">
            <v>TV DPE SERV AUX</v>
          </cell>
          <cell r="C438" t="str">
            <v>Tabela de Valores DPE Servidores Serviços Auxiliares</v>
          </cell>
          <cell r="D438" t="str">
            <v>40H</v>
          </cell>
          <cell r="E438">
            <v>40848</v>
          </cell>
          <cell r="G438" t="str">
            <v>23</v>
          </cell>
          <cell r="H438" t="str">
            <v>Analista Cl B - Pd 08</v>
          </cell>
          <cell r="I438" t="str">
            <v>Básico</v>
          </cell>
          <cell r="J438">
            <v>6961.32</v>
          </cell>
        </row>
        <row r="439">
          <cell r="A439" t="str">
            <v>TV DPE SERV AUX 24 40H</v>
          </cell>
          <cell r="B439" t="str">
            <v>TV DPE SERV AUX</v>
          </cell>
          <cell r="C439" t="str">
            <v>Tabela de Valores DPE Servidores Serviços Auxiliares</v>
          </cell>
          <cell r="D439" t="str">
            <v>40H</v>
          </cell>
          <cell r="E439">
            <v>40848</v>
          </cell>
          <cell r="G439" t="str">
            <v>24</v>
          </cell>
          <cell r="H439" t="str">
            <v>Analista Cl B - Pd 09</v>
          </cell>
          <cell r="I439" t="str">
            <v>Básico</v>
          </cell>
          <cell r="J439">
            <v>7170.16</v>
          </cell>
        </row>
        <row r="440">
          <cell r="A440" t="str">
            <v>TV DPE SERV AUX 25 40H</v>
          </cell>
          <cell r="B440" t="str">
            <v>TV DPE SERV AUX</v>
          </cell>
          <cell r="C440" t="str">
            <v>Tabela de Valores DPE Servidores Serviços Auxiliares</v>
          </cell>
          <cell r="D440" t="str">
            <v>40H</v>
          </cell>
          <cell r="E440">
            <v>40848</v>
          </cell>
          <cell r="G440" t="str">
            <v>25</v>
          </cell>
          <cell r="H440" t="str">
            <v>Analista Cl B - Pd 10</v>
          </cell>
          <cell r="I440" t="str">
            <v>Básico</v>
          </cell>
          <cell r="J440">
            <v>7385.27</v>
          </cell>
        </row>
        <row r="441">
          <cell r="A441" t="str">
            <v>TV DPE SERV AUX 26 40H</v>
          </cell>
          <cell r="B441" t="str">
            <v>TV DPE SERV AUX</v>
          </cell>
          <cell r="C441" t="str">
            <v>Tabela de Valores DPE Servidores Serviços Auxiliares</v>
          </cell>
          <cell r="D441" t="str">
            <v>40H</v>
          </cell>
          <cell r="E441">
            <v>40848</v>
          </cell>
          <cell r="G441" t="str">
            <v>26</v>
          </cell>
          <cell r="H441" t="str">
            <v>Analista Cl C - Pd 11</v>
          </cell>
          <cell r="I441" t="str">
            <v>Básico</v>
          </cell>
          <cell r="J441">
            <v>7828.39</v>
          </cell>
        </row>
        <row r="442">
          <cell r="A442" t="str">
            <v>TV DPE SERV AUX 27 40H</v>
          </cell>
          <cell r="B442" t="str">
            <v>TV DPE SERV AUX</v>
          </cell>
          <cell r="C442" t="str">
            <v>Tabela de Valores DPE Servidores Serviços Auxiliares</v>
          </cell>
          <cell r="D442" t="str">
            <v>40H</v>
          </cell>
          <cell r="E442">
            <v>40848</v>
          </cell>
          <cell r="G442" t="str">
            <v>27</v>
          </cell>
          <cell r="H442" t="str">
            <v>Analista Cl C - Pd 12</v>
          </cell>
          <cell r="I442" t="str">
            <v>Básico</v>
          </cell>
          <cell r="J442">
            <v>8063.24</v>
          </cell>
        </row>
        <row r="443">
          <cell r="A443" t="str">
            <v>TV DPE SERV AUX 28 40H</v>
          </cell>
          <cell r="B443" t="str">
            <v>TV DPE SERV AUX</v>
          </cell>
          <cell r="C443" t="str">
            <v>Tabela de Valores DPE Servidores Serviços Auxiliares</v>
          </cell>
          <cell r="D443" t="str">
            <v>40H</v>
          </cell>
          <cell r="E443">
            <v>40848</v>
          </cell>
          <cell r="G443" t="str">
            <v>28</v>
          </cell>
          <cell r="H443" t="str">
            <v>Analista Cl C - Pd 13</v>
          </cell>
          <cell r="I443" t="str">
            <v>Básico</v>
          </cell>
          <cell r="J443">
            <v>8305.13</v>
          </cell>
        </row>
        <row r="444">
          <cell r="A444" t="str">
            <v>TV DPE SERV AUX 29 40H</v>
          </cell>
          <cell r="B444" t="str">
            <v>TV DPE SERV AUX</v>
          </cell>
          <cell r="C444" t="str">
            <v>Tabela de Valores DPE Servidores Serviços Auxiliares</v>
          </cell>
          <cell r="D444" t="str">
            <v>40H</v>
          </cell>
          <cell r="E444">
            <v>40848</v>
          </cell>
          <cell r="G444" t="str">
            <v>29</v>
          </cell>
          <cell r="H444" t="str">
            <v>Analista Cl C - Pd 14</v>
          </cell>
          <cell r="I444" t="str">
            <v>Básico</v>
          </cell>
          <cell r="J444">
            <v>8554.29</v>
          </cell>
        </row>
        <row r="445">
          <cell r="A445" t="str">
            <v>TV DPE SERV AUX 30 40H</v>
          </cell>
          <cell r="B445" t="str">
            <v>TV DPE SERV AUX</v>
          </cell>
          <cell r="C445" t="str">
            <v>Tabela de Valores DPE Servidores Serviços Auxiliares</v>
          </cell>
          <cell r="D445" t="str">
            <v>40H</v>
          </cell>
          <cell r="E445">
            <v>40848</v>
          </cell>
          <cell r="G445" t="str">
            <v>30</v>
          </cell>
          <cell r="H445" t="str">
            <v>Analista Cl C - Pd 15</v>
          </cell>
          <cell r="I445" t="str">
            <v>Básico</v>
          </cell>
          <cell r="J445">
            <v>8810.92</v>
          </cell>
        </row>
        <row r="446">
          <cell r="A446" t="str">
            <v>TV EMERG/TEMP 01 01H</v>
          </cell>
          <cell r="B446" t="str">
            <v>TV EMERG/TEMP</v>
          </cell>
          <cell r="C446" t="str">
            <v>Tabela de Valores Contratos Emergenciais/Temporarios</v>
          </cell>
          <cell r="D446" t="str">
            <v>01H</v>
          </cell>
          <cell r="E446">
            <v>41579</v>
          </cell>
          <cell r="G446" t="str">
            <v>01</v>
          </cell>
          <cell r="H446" t="str">
            <v>Contr Emerg - M2</v>
          </cell>
          <cell r="I446" t="str">
            <v>Básico</v>
          </cell>
          <cell r="J446">
            <v>45.51</v>
          </cell>
          <cell r="K446" t="str">
            <v>Parc Autonoma</v>
          </cell>
          <cell r="L446">
            <v>0</v>
          </cell>
        </row>
        <row r="447">
          <cell r="A447" t="str">
            <v>TV EMERG/TEMP 02 01H</v>
          </cell>
          <cell r="B447" t="str">
            <v>TV EMERG/TEMP</v>
          </cell>
          <cell r="C447" t="str">
            <v>Tabela de Valores Contratos Emergenciais/Temporarios</v>
          </cell>
          <cell r="D447" t="str">
            <v>01H</v>
          </cell>
          <cell r="E447">
            <v>41579</v>
          </cell>
          <cell r="G447" t="str">
            <v>02</v>
          </cell>
          <cell r="H447" t="str">
            <v>Contr Emerg - M4</v>
          </cell>
          <cell r="I447" t="str">
            <v>Básico</v>
          </cell>
          <cell r="J447">
            <v>56.14</v>
          </cell>
          <cell r="K447" t="str">
            <v>Parc Autonoma</v>
          </cell>
          <cell r="L447">
            <v>0</v>
          </cell>
        </row>
        <row r="448">
          <cell r="A448" t="str">
            <v>TV EMERG/TEMP 03 01H</v>
          </cell>
          <cell r="B448" t="str">
            <v>TV EMERG/TEMP</v>
          </cell>
          <cell r="C448" t="str">
            <v>Tabela de Valores Contratos Emergenciais/Temporarios</v>
          </cell>
          <cell r="D448" t="str">
            <v>01H</v>
          </cell>
          <cell r="E448">
            <v>41579</v>
          </cell>
          <cell r="G448" t="str">
            <v>03</v>
          </cell>
          <cell r="H448" t="str">
            <v>Contr Temp - A1</v>
          </cell>
          <cell r="I448" t="str">
            <v>Básico</v>
          </cell>
          <cell r="J448">
            <v>39.01</v>
          </cell>
          <cell r="K448" t="str">
            <v>Parc Autonoma</v>
          </cell>
          <cell r="L448">
            <v>0</v>
          </cell>
        </row>
        <row r="449">
          <cell r="A449" t="str">
            <v>TV EMERG/TEMP 04 01H</v>
          </cell>
          <cell r="B449" t="str">
            <v>TV EMERG/TEMP</v>
          </cell>
          <cell r="C449" t="str">
            <v>Tabela de Valores Contratos Emergenciais/Temporarios</v>
          </cell>
          <cell r="D449" t="str">
            <v>01H</v>
          </cell>
          <cell r="E449">
            <v>41579</v>
          </cell>
          <cell r="G449" t="str">
            <v>04</v>
          </cell>
          <cell r="H449" t="str">
            <v>Contr Temp - A5</v>
          </cell>
          <cell r="I449" t="str">
            <v>Básico</v>
          </cell>
          <cell r="J449">
            <v>48.12</v>
          </cell>
          <cell r="K449" t="str">
            <v>Parc Autonoma</v>
          </cell>
          <cell r="L449">
            <v>0</v>
          </cell>
        </row>
        <row r="450">
          <cell r="A450" t="str">
            <v>TV ESP SARH PROC 01 40H</v>
          </cell>
          <cell r="B450" t="str">
            <v>TV ESP SARH PROC</v>
          </cell>
          <cell r="C450" t="str">
            <v>Tabela de Valores Procuradores do Quadro Especial SARH</v>
          </cell>
          <cell r="D450" t="str">
            <v>40H</v>
          </cell>
          <cell r="E450">
            <v>41365</v>
          </cell>
          <cell r="G450" t="str">
            <v>01</v>
          </cell>
          <cell r="H450" t="str">
            <v>Procuradores</v>
          </cell>
          <cell r="I450" t="str">
            <v>Básico</v>
          </cell>
          <cell r="J450">
            <v>10725.9</v>
          </cell>
        </row>
        <row r="451">
          <cell r="A451" t="str">
            <v>TV ESPECIAL DAE 01 40H</v>
          </cell>
          <cell r="B451" t="str">
            <v>TV ESPECIAL DAE</v>
          </cell>
          <cell r="C451" t="str">
            <v>Tabela de Valores Especial Sec Transportes DAE</v>
          </cell>
          <cell r="D451" t="str">
            <v>40H</v>
          </cell>
          <cell r="E451">
            <v>41334</v>
          </cell>
          <cell r="G451" t="str">
            <v>01</v>
          </cell>
          <cell r="H451" t="str">
            <v>Cl A</v>
          </cell>
          <cell r="I451" t="str">
            <v>Básico</v>
          </cell>
          <cell r="J451">
            <v>4937.65</v>
          </cell>
          <cell r="K451" t="str">
            <v>Parc Autonoma</v>
          </cell>
          <cell r="L451">
            <v>0</v>
          </cell>
        </row>
        <row r="452">
          <cell r="A452" t="str">
            <v>TV ESPECIAL DAE 02 40H</v>
          </cell>
          <cell r="B452" t="str">
            <v>TV ESPECIAL DAE</v>
          </cell>
          <cell r="C452" t="str">
            <v>Tabela de Valores Especial Sec Transportes DAE</v>
          </cell>
          <cell r="D452" t="str">
            <v>40H</v>
          </cell>
          <cell r="E452">
            <v>41334</v>
          </cell>
          <cell r="G452" t="str">
            <v>02</v>
          </cell>
          <cell r="H452" t="str">
            <v>Cl B</v>
          </cell>
          <cell r="I452" t="str">
            <v>Básico</v>
          </cell>
          <cell r="J452">
            <v>5184.53</v>
          </cell>
          <cell r="K452" t="str">
            <v>Parc Autonoma</v>
          </cell>
          <cell r="L452">
            <v>0</v>
          </cell>
        </row>
        <row r="453">
          <cell r="A453" t="str">
            <v>TV ESPECIAL DAE 03 40H</v>
          </cell>
          <cell r="B453" t="str">
            <v>TV ESPECIAL DAE</v>
          </cell>
          <cell r="C453" t="str">
            <v>Tabela de Valores Especial Sec Transportes DAE</v>
          </cell>
          <cell r="D453" t="str">
            <v>40H</v>
          </cell>
          <cell r="E453">
            <v>41334</v>
          </cell>
          <cell r="G453" t="str">
            <v>03</v>
          </cell>
          <cell r="H453" t="str">
            <v>Cl C</v>
          </cell>
          <cell r="I453" t="str">
            <v>Básico</v>
          </cell>
          <cell r="J453">
            <v>5443.77</v>
          </cell>
          <cell r="K453" t="str">
            <v>Parc Autonoma</v>
          </cell>
          <cell r="L453">
            <v>0</v>
          </cell>
        </row>
        <row r="454">
          <cell r="A454" t="str">
            <v>TV ESPECIAL DAE 04 40H</v>
          </cell>
          <cell r="B454" t="str">
            <v>TV ESPECIAL DAE</v>
          </cell>
          <cell r="C454" t="str">
            <v>Tabela de Valores Especial Sec Transportes DAE</v>
          </cell>
          <cell r="D454" t="str">
            <v>40H</v>
          </cell>
          <cell r="E454">
            <v>41334</v>
          </cell>
          <cell r="G454" t="str">
            <v>04</v>
          </cell>
          <cell r="H454" t="str">
            <v>Cl D</v>
          </cell>
          <cell r="I454" t="str">
            <v>Básico</v>
          </cell>
          <cell r="J454">
            <v>5715.95</v>
          </cell>
          <cell r="K454" t="str">
            <v>Parc Autonoma</v>
          </cell>
          <cell r="L454">
            <v>0</v>
          </cell>
        </row>
        <row r="455">
          <cell r="A455" t="str">
            <v>TV ESPECIAL MED SCT 01 40H</v>
          </cell>
          <cell r="B455" t="str">
            <v>TV ESPECIAL MED SCT</v>
          </cell>
          <cell r="C455" t="str">
            <v>Tabela de Valores Especial SCT - Nível Médio</v>
          </cell>
          <cell r="D455" t="str">
            <v>40H</v>
          </cell>
          <cell r="E455">
            <v>41334</v>
          </cell>
          <cell r="G455" t="str">
            <v>01</v>
          </cell>
          <cell r="H455" t="str">
            <v>Pd 01</v>
          </cell>
          <cell r="I455" t="str">
            <v>Básico</v>
          </cell>
          <cell r="J455">
            <v>787.11</v>
          </cell>
        </row>
        <row r="456">
          <cell r="A456" t="str">
            <v>TV ESPECIAL MED SCT 02 40H</v>
          </cell>
          <cell r="B456" t="str">
            <v>TV ESPECIAL MED SCT</v>
          </cell>
          <cell r="C456" t="str">
            <v>Tabela de Valores Especial SCT - Nível Médio</v>
          </cell>
          <cell r="D456" t="str">
            <v>40H</v>
          </cell>
          <cell r="E456">
            <v>41334</v>
          </cell>
          <cell r="G456" t="str">
            <v>02</v>
          </cell>
          <cell r="H456" t="str">
            <v>Pd 02</v>
          </cell>
          <cell r="I456" t="str">
            <v>Básico</v>
          </cell>
          <cell r="J456">
            <v>802.85</v>
          </cell>
        </row>
        <row r="457">
          <cell r="A457" t="str">
            <v>TV ESPECIAL MED SCT 03 40H</v>
          </cell>
          <cell r="B457" t="str">
            <v>TV ESPECIAL MED SCT</v>
          </cell>
          <cell r="C457" t="str">
            <v>Tabela de Valores Especial SCT - Nível Médio</v>
          </cell>
          <cell r="D457" t="str">
            <v>40H</v>
          </cell>
          <cell r="E457">
            <v>41334</v>
          </cell>
          <cell r="G457" t="str">
            <v>03</v>
          </cell>
          <cell r="H457" t="str">
            <v>Pd 03</v>
          </cell>
          <cell r="I457" t="str">
            <v>Básico</v>
          </cell>
          <cell r="J457">
            <v>818.6</v>
          </cell>
        </row>
        <row r="458">
          <cell r="A458" t="str">
            <v>TV ESPECIAL MED SCT 04 40H</v>
          </cell>
          <cell r="B458" t="str">
            <v>TV ESPECIAL MED SCT</v>
          </cell>
          <cell r="C458" t="str">
            <v>Tabela de Valores Especial SCT - Nível Médio</v>
          </cell>
          <cell r="D458" t="str">
            <v>40H</v>
          </cell>
          <cell r="E458">
            <v>41334</v>
          </cell>
          <cell r="G458" t="str">
            <v>04</v>
          </cell>
          <cell r="H458" t="str">
            <v>Pd 04</v>
          </cell>
          <cell r="I458" t="str">
            <v>Básico</v>
          </cell>
          <cell r="J458">
            <v>835.46</v>
          </cell>
        </row>
        <row r="459">
          <cell r="A459" t="str">
            <v>TV ESPECIAL MED SCT 05 40H</v>
          </cell>
          <cell r="B459" t="str">
            <v>TV ESPECIAL MED SCT</v>
          </cell>
          <cell r="C459" t="str">
            <v>Tabela de Valores Especial SCT - Nível Médio</v>
          </cell>
          <cell r="D459" t="str">
            <v>40H</v>
          </cell>
          <cell r="E459">
            <v>41334</v>
          </cell>
          <cell r="G459" t="str">
            <v>05</v>
          </cell>
          <cell r="H459" t="str">
            <v>Pd 05</v>
          </cell>
          <cell r="I459" t="str">
            <v>Básico</v>
          </cell>
          <cell r="J459">
            <v>850.08</v>
          </cell>
        </row>
        <row r="460">
          <cell r="A460" t="str">
            <v>TV ESPECIAL MED SCT 06 40H</v>
          </cell>
          <cell r="B460" t="str">
            <v>TV ESPECIAL MED SCT</v>
          </cell>
          <cell r="C460" t="str">
            <v>Tabela de Valores Especial SCT - Nível Médio</v>
          </cell>
          <cell r="D460" t="str">
            <v>40H</v>
          </cell>
          <cell r="E460">
            <v>41334</v>
          </cell>
          <cell r="G460" t="str">
            <v>06</v>
          </cell>
          <cell r="H460" t="str">
            <v>Pd 06</v>
          </cell>
          <cell r="I460" t="str">
            <v>Básico</v>
          </cell>
          <cell r="J460">
            <v>916.42</v>
          </cell>
        </row>
        <row r="461">
          <cell r="A461" t="str">
            <v>TV ESPECIAL MED SCT 07 40H</v>
          </cell>
          <cell r="B461" t="str">
            <v>TV ESPECIAL MED SCT</v>
          </cell>
          <cell r="C461" t="str">
            <v>Tabela de Valores Especial SCT - Nível Médio</v>
          </cell>
          <cell r="D461" t="str">
            <v>40H</v>
          </cell>
          <cell r="E461">
            <v>41334</v>
          </cell>
          <cell r="G461" t="str">
            <v>07</v>
          </cell>
          <cell r="H461" t="str">
            <v>Pd 07</v>
          </cell>
          <cell r="I461" t="str">
            <v>Básico</v>
          </cell>
          <cell r="J461">
            <v>933.29</v>
          </cell>
        </row>
        <row r="462">
          <cell r="A462" t="str">
            <v>TV ESPECIAL MED SCT 08 40H</v>
          </cell>
          <cell r="B462" t="str">
            <v>TV ESPECIAL MED SCT</v>
          </cell>
          <cell r="C462" t="str">
            <v>Tabela de Valores Especial SCT - Nível Médio</v>
          </cell>
          <cell r="D462" t="str">
            <v>40H</v>
          </cell>
          <cell r="E462">
            <v>41334</v>
          </cell>
          <cell r="G462" t="str">
            <v>08</v>
          </cell>
          <cell r="H462" t="str">
            <v>Pd 08</v>
          </cell>
          <cell r="I462" t="str">
            <v>Básico</v>
          </cell>
          <cell r="J462">
            <v>952.41</v>
          </cell>
        </row>
        <row r="463">
          <cell r="A463" t="str">
            <v>TV ESPECIAL MED SCT 09 40H</v>
          </cell>
          <cell r="B463" t="str">
            <v>TV ESPECIAL MED SCT</v>
          </cell>
          <cell r="C463" t="str">
            <v>Tabela de Valores Especial SCT - Nível Médio</v>
          </cell>
          <cell r="D463" t="str">
            <v>40H</v>
          </cell>
          <cell r="E463">
            <v>41334</v>
          </cell>
          <cell r="G463" t="str">
            <v>09</v>
          </cell>
          <cell r="H463" t="str">
            <v>Pd 09</v>
          </cell>
          <cell r="I463" t="str">
            <v>Básico</v>
          </cell>
          <cell r="J463">
            <v>971.52</v>
          </cell>
        </row>
        <row r="464">
          <cell r="A464" t="str">
            <v>TV ESPECIAL MED SCT 10 40H</v>
          </cell>
          <cell r="B464" t="str">
            <v>TV ESPECIAL MED SCT</v>
          </cell>
          <cell r="C464" t="str">
            <v>Tabela de Valores Especial SCT - Nível Médio</v>
          </cell>
          <cell r="D464" t="str">
            <v>40H</v>
          </cell>
          <cell r="E464">
            <v>41334</v>
          </cell>
          <cell r="G464" t="str">
            <v>10</v>
          </cell>
          <cell r="H464" t="str">
            <v>Pd 10</v>
          </cell>
          <cell r="I464" t="str">
            <v>Básico</v>
          </cell>
          <cell r="J464">
            <v>991.77</v>
          </cell>
        </row>
        <row r="465">
          <cell r="A465" t="str">
            <v>TV ESPECIAL MED SCT 11 40H</v>
          </cell>
          <cell r="B465" t="str">
            <v>TV ESPECIAL MED SCT</v>
          </cell>
          <cell r="C465" t="str">
            <v>Tabela de Valores Especial SCT - Nível Médio</v>
          </cell>
          <cell r="D465" t="str">
            <v>40H</v>
          </cell>
          <cell r="E465">
            <v>41334</v>
          </cell>
          <cell r="G465" t="str">
            <v>11</v>
          </cell>
          <cell r="H465" t="str">
            <v>Pd 11</v>
          </cell>
          <cell r="I465" t="str">
            <v>Básico</v>
          </cell>
          <cell r="J465">
            <v>1309.98</v>
          </cell>
        </row>
        <row r="466">
          <cell r="A466" t="str">
            <v>TV ESPECIAL MED SCT 12 40H</v>
          </cell>
          <cell r="B466" t="str">
            <v>TV ESPECIAL MED SCT</v>
          </cell>
          <cell r="C466" t="str">
            <v>Tabela de Valores Especial SCT - Nível Médio</v>
          </cell>
          <cell r="D466" t="str">
            <v>40H</v>
          </cell>
          <cell r="E466">
            <v>41334</v>
          </cell>
          <cell r="G466" t="str">
            <v>12</v>
          </cell>
          <cell r="H466" t="str">
            <v>Pd 12</v>
          </cell>
          <cell r="I466" t="str">
            <v>Básico</v>
          </cell>
          <cell r="J466">
            <v>1338.09</v>
          </cell>
        </row>
        <row r="467">
          <cell r="A467" t="str">
            <v>TV ESPECIAL MED SCT 13 40H</v>
          </cell>
          <cell r="B467" t="str">
            <v>TV ESPECIAL MED SCT</v>
          </cell>
          <cell r="C467" t="str">
            <v>Tabela de Valores Especial SCT - Nível Médio</v>
          </cell>
          <cell r="D467" t="str">
            <v>40H</v>
          </cell>
          <cell r="E467">
            <v>41334</v>
          </cell>
          <cell r="G467" t="str">
            <v>13</v>
          </cell>
          <cell r="H467" t="str">
            <v>Pd 13</v>
          </cell>
          <cell r="I467" t="str">
            <v>Básico</v>
          </cell>
          <cell r="J467">
            <v>1717.03</v>
          </cell>
        </row>
        <row r="468">
          <cell r="A468" t="str">
            <v>TV ESPECIAL MED SCT 14 40H</v>
          </cell>
          <cell r="B468" t="str">
            <v>TV ESPECIAL MED SCT</v>
          </cell>
          <cell r="C468" t="str">
            <v>Tabela de Valores Especial SCT - Nível Médio</v>
          </cell>
          <cell r="D468" t="str">
            <v>40H</v>
          </cell>
          <cell r="E468">
            <v>41334</v>
          </cell>
          <cell r="G468" t="str">
            <v>14</v>
          </cell>
          <cell r="H468" t="str">
            <v>Pd 14</v>
          </cell>
          <cell r="I468" t="str">
            <v>Básico</v>
          </cell>
          <cell r="J468">
            <v>1751.89</v>
          </cell>
        </row>
        <row r="469">
          <cell r="A469" t="str">
            <v>TV ESPECIAL MED SCT 15 40H</v>
          </cell>
          <cell r="B469" t="str">
            <v>TV ESPECIAL MED SCT</v>
          </cell>
          <cell r="C469" t="str">
            <v>Tabela de Valores Especial SCT - Nível Médio</v>
          </cell>
          <cell r="D469" t="str">
            <v>40H</v>
          </cell>
          <cell r="E469">
            <v>41334</v>
          </cell>
          <cell r="G469" t="str">
            <v>15</v>
          </cell>
          <cell r="H469" t="str">
            <v>Pd 15</v>
          </cell>
          <cell r="I469" t="str">
            <v>Básico</v>
          </cell>
          <cell r="J469">
            <v>1967.78</v>
          </cell>
        </row>
        <row r="470">
          <cell r="A470" t="str">
            <v>TV ESPECIAL MED SCT 16 40H</v>
          </cell>
          <cell r="B470" t="str">
            <v>TV ESPECIAL MED SCT</v>
          </cell>
          <cell r="C470" t="str">
            <v>Tabela de Valores Especial SCT - Nível Médio</v>
          </cell>
          <cell r="D470" t="str">
            <v>40H</v>
          </cell>
          <cell r="E470">
            <v>41334</v>
          </cell>
          <cell r="G470" t="str">
            <v>16</v>
          </cell>
          <cell r="H470" t="str">
            <v>Pd 16</v>
          </cell>
          <cell r="I470" t="str">
            <v>Básico</v>
          </cell>
          <cell r="J470">
            <v>2296.12</v>
          </cell>
        </row>
        <row r="471">
          <cell r="A471" t="str">
            <v>TV ESPECIAL SARH 01 30H</v>
          </cell>
          <cell r="B471" t="str">
            <v>TV ESPECIAL SARH</v>
          </cell>
          <cell r="C471" t="str">
            <v>Tabela de Valores Especial SARH</v>
          </cell>
          <cell r="D471" t="str">
            <v>30H</v>
          </cell>
          <cell r="E471">
            <v>41365</v>
          </cell>
          <cell r="G471" t="str">
            <v>01</v>
          </cell>
          <cell r="H471" t="str">
            <v>Aux Serv 1</v>
          </cell>
          <cell r="I471" t="str">
            <v>Básico</v>
          </cell>
          <cell r="J471">
            <v>438.85</v>
          </cell>
        </row>
        <row r="472">
          <cell r="A472" t="str">
            <v>TV ESPECIAL SARH 02 30H</v>
          </cell>
          <cell r="B472" t="str">
            <v>TV ESPECIAL SARH</v>
          </cell>
          <cell r="C472" t="str">
            <v>Tabela de Valores Especial SARH</v>
          </cell>
          <cell r="D472" t="str">
            <v>30H</v>
          </cell>
          <cell r="E472">
            <v>41365</v>
          </cell>
          <cell r="G472" t="str">
            <v>02</v>
          </cell>
          <cell r="H472" t="str">
            <v>Aux Serv 2</v>
          </cell>
          <cell r="I472" t="str">
            <v>Básico</v>
          </cell>
          <cell r="J472">
            <v>471.6</v>
          </cell>
        </row>
        <row r="473">
          <cell r="A473" t="str">
            <v>TV ESPECIAL SARH 03 30H</v>
          </cell>
          <cell r="B473" t="str">
            <v>TV ESPECIAL SARH</v>
          </cell>
          <cell r="C473" t="str">
            <v>Tabela de Valores Especial SARH</v>
          </cell>
          <cell r="D473" t="str">
            <v>30H</v>
          </cell>
          <cell r="E473">
            <v>41365</v>
          </cell>
          <cell r="G473" t="str">
            <v>03</v>
          </cell>
          <cell r="H473" t="str">
            <v>Aux Serv 3</v>
          </cell>
          <cell r="I473" t="str">
            <v>Básico</v>
          </cell>
          <cell r="J473">
            <v>506.94</v>
          </cell>
        </row>
        <row r="474">
          <cell r="A474" t="str">
            <v>TV ESPECIAL SARH 04 30H</v>
          </cell>
          <cell r="B474" t="str">
            <v>TV ESPECIAL SARH</v>
          </cell>
          <cell r="C474" t="str">
            <v>Tabela de Valores Especial SARH</v>
          </cell>
          <cell r="D474" t="str">
            <v>30H</v>
          </cell>
          <cell r="E474">
            <v>41365</v>
          </cell>
          <cell r="G474" t="str">
            <v>04</v>
          </cell>
          <cell r="H474" t="str">
            <v>Aux Serv 4</v>
          </cell>
          <cell r="I474" t="str">
            <v>Básico</v>
          </cell>
          <cell r="J474">
            <v>544.73</v>
          </cell>
        </row>
        <row r="475">
          <cell r="A475" t="str">
            <v>TV ESPECIAL SARH 05 30H</v>
          </cell>
          <cell r="B475" t="str">
            <v>TV ESPECIAL SARH</v>
          </cell>
          <cell r="C475" t="str">
            <v>Tabela de Valores Especial SARH</v>
          </cell>
          <cell r="D475" t="str">
            <v>30H</v>
          </cell>
          <cell r="E475">
            <v>41365</v>
          </cell>
          <cell r="G475" t="str">
            <v>05</v>
          </cell>
          <cell r="H475" t="str">
            <v>Aux Serv 5</v>
          </cell>
          <cell r="I475" t="str">
            <v>Básico</v>
          </cell>
          <cell r="J475">
            <v>585.25</v>
          </cell>
        </row>
        <row r="476">
          <cell r="A476" t="str">
            <v>TV ESPECIAL SARH 06 30H</v>
          </cell>
          <cell r="B476" t="str">
            <v>TV ESPECIAL SARH</v>
          </cell>
          <cell r="C476" t="str">
            <v>Tabela de Valores Especial SARH</v>
          </cell>
          <cell r="D476" t="str">
            <v>30H</v>
          </cell>
          <cell r="E476">
            <v>41365</v>
          </cell>
          <cell r="G476" t="str">
            <v>06</v>
          </cell>
          <cell r="H476" t="str">
            <v>Aux Serv 6</v>
          </cell>
          <cell r="I476" t="str">
            <v>Básico</v>
          </cell>
          <cell r="J476">
            <v>628.8</v>
          </cell>
        </row>
        <row r="477">
          <cell r="A477" t="str">
            <v>TV ESPECIAL SARH 07 30H</v>
          </cell>
          <cell r="B477" t="str">
            <v>TV ESPECIAL SARH</v>
          </cell>
          <cell r="C477" t="str">
            <v>Tabela de Valores Especial SARH</v>
          </cell>
          <cell r="D477" t="str">
            <v>30H</v>
          </cell>
          <cell r="E477">
            <v>41365</v>
          </cell>
          <cell r="G477" t="str">
            <v>07</v>
          </cell>
          <cell r="H477" t="str">
            <v>Aux Serv 7</v>
          </cell>
          <cell r="I477" t="str">
            <v>Básico</v>
          </cell>
          <cell r="J477">
            <v>675.79</v>
          </cell>
        </row>
        <row r="478">
          <cell r="A478" t="str">
            <v>TV ESPECIAL SARH 08 30H</v>
          </cell>
          <cell r="B478" t="str">
            <v>TV ESPECIAL SARH</v>
          </cell>
          <cell r="C478" t="str">
            <v>Tabela de Valores Especial SARH</v>
          </cell>
          <cell r="D478" t="str">
            <v>30H</v>
          </cell>
          <cell r="E478">
            <v>41365</v>
          </cell>
          <cell r="G478" t="str">
            <v>08</v>
          </cell>
          <cell r="H478" t="str">
            <v>Aux Serv 8</v>
          </cell>
          <cell r="I478" t="str">
            <v>Básico</v>
          </cell>
          <cell r="J478">
            <v>726.06</v>
          </cell>
        </row>
        <row r="479">
          <cell r="A479" t="str">
            <v>TV ESPECIAL SARH 09 30H</v>
          </cell>
          <cell r="B479" t="str">
            <v>TV ESPECIAL SARH</v>
          </cell>
          <cell r="C479" t="str">
            <v>Tabela de Valores Especial SARH</v>
          </cell>
          <cell r="D479" t="str">
            <v>30H</v>
          </cell>
          <cell r="E479">
            <v>41365</v>
          </cell>
          <cell r="G479" t="str">
            <v>09</v>
          </cell>
          <cell r="H479" t="str">
            <v>Aux Serv 9</v>
          </cell>
          <cell r="I479" t="str">
            <v>Básico</v>
          </cell>
          <cell r="J479">
            <v>780.54</v>
          </cell>
        </row>
        <row r="480">
          <cell r="A480" t="str">
            <v>TV ESPECIAL SARH 10 30H</v>
          </cell>
          <cell r="B480" t="str">
            <v>TV ESPECIAL SARH</v>
          </cell>
          <cell r="C480" t="str">
            <v>Tabela de Valores Especial SARH</v>
          </cell>
          <cell r="D480" t="str">
            <v>30H</v>
          </cell>
          <cell r="E480">
            <v>41365</v>
          </cell>
          <cell r="G480" t="str">
            <v>10</v>
          </cell>
          <cell r="H480" t="str">
            <v>Aux Serv 10</v>
          </cell>
          <cell r="I480" t="str">
            <v>Básico</v>
          </cell>
          <cell r="J480">
            <v>838.29</v>
          </cell>
        </row>
        <row r="481">
          <cell r="A481" t="str">
            <v>TV ESPECIAL SARH 11 30H</v>
          </cell>
          <cell r="B481" t="str">
            <v>TV ESPECIAL SARH</v>
          </cell>
          <cell r="C481" t="str">
            <v>Tabela de Valores Especial SARH</v>
          </cell>
          <cell r="D481" t="str">
            <v>30H</v>
          </cell>
          <cell r="E481">
            <v>41365</v>
          </cell>
          <cell r="G481" t="str">
            <v>11</v>
          </cell>
          <cell r="H481" t="str">
            <v>Aux Serv 11</v>
          </cell>
          <cell r="I481" t="str">
            <v>Básico</v>
          </cell>
          <cell r="J481">
            <v>900.81</v>
          </cell>
        </row>
        <row r="482">
          <cell r="A482" t="str">
            <v>TV ESPECIAL SARH 12 30H</v>
          </cell>
          <cell r="B482" t="str">
            <v>TV ESPECIAL SARH</v>
          </cell>
          <cell r="C482" t="str">
            <v>Tabela de Valores Especial SARH</v>
          </cell>
          <cell r="D482" t="str">
            <v>30H</v>
          </cell>
          <cell r="E482">
            <v>41365</v>
          </cell>
          <cell r="G482" t="str">
            <v>12</v>
          </cell>
          <cell r="H482" t="str">
            <v>Aux Serv 12</v>
          </cell>
          <cell r="I482" t="str">
            <v>Básico</v>
          </cell>
          <cell r="J482">
            <v>968.05</v>
          </cell>
        </row>
        <row r="483">
          <cell r="A483" t="str">
            <v>TV ESPECIAL SARH 13 30H</v>
          </cell>
          <cell r="B483" t="str">
            <v>TV ESPECIAL SARH</v>
          </cell>
          <cell r="C483" t="str">
            <v>Tabela de Valores Especial SARH</v>
          </cell>
          <cell r="D483" t="str">
            <v>30H</v>
          </cell>
          <cell r="E483">
            <v>41365</v>
          </cell>
          <cell r="G483" t="str">
            <v>13</v>
          </cell>
          <cell r="H483" t="str">
            <v>Escr 1</v>
          </cell>
          <cell r="I483" t="str">
            <v>Básico</v>
          </cell>
          <cell r="J483">
            <v>650.79</v>
          </cell>
        </row>
        <row r="484">
          <cell r="A484" t="str">
            <v>TV ESPECIAL SARH 14 30H</v>
          </cell>
          <cell r="B484" t="str">
            <v>TV ESPECIAL SARH</v>
          </cell>
          <cell r="C484" t="str">
            <v>Tabela de Valores Especial SARH</v>
          </cell>
          <cell r="D484" t="str">
            <v>30H</v>
          </cell>
          <cell r="E484">
            <v>41365</v>
          </cell>
          <cell r="G484" t="str">
            <v>14</v>
          </cell>
          <cell r="H484" t="str">
            <v>Escr 2</v>
          </cell>
          <cell r="I484" t="str">
            <v>Básico</v>
          </cell>
          <cell r="J484">
            <v>699.2</v>
          </cell>
        </row>
        <row r="485">
          <cell r="A485" t="str">
            <v>TV ESPECIAL SARH 15 30H</v>
          </cell>
          <cell r="B485" t="str">
            <v>TV ESPECIAL SARH</v>
          </cell>
          <cell r="C485" t="str">
            <v>Tabela de Valores Especial SARH</v>
          </cell>
          <cell r="D485" t="str">
            <v>30H</v>
          </cell>
          <cell r="E485">
            <v>41365</v>
          </cell>
          <cell r="G485" t="str">
            <v>15</v>
          </cell>
          <cell r="H485" t="str">
            <v>Escr 3</v>
          </cell>
          <cell r="I485" t="str">
            <v>Básico</v>
          </cell>
          <cell r="J485">
            <v>751.23</v>
          </cell>
        </row>
        <row r="486">
          <cell r="A486" t="str">
            <v>TV ESPECIAL SARH 16 30H</v>
          </cell>
          <cell r="B486" t="str">
            <v>TV ESPECIAL SARH</v>
          </cell>
          <cell r="C486" t="str">
            <v>Tabela de Valores Especial SARH</v>
          </cell>
          <cell r="D486" t="str">
            <v>30H</v>
          </cell>
          <cell r="E486">
            <v>41365</v>
          </cell>
          <cell r="G486" t="str">
            <v>16</v>
          </cell>
          <cell r="H486" t="str">
            <v>Escr 4</v>
          </cell>
          <cell r="I486" t="str">
            <v>Básico</v>
          </cell>
          <cell r="J486">
            <v>807.12</v>
          </cell>
        </row>
        <row r="487">
          <cell r="A487" t="str">
            <v>TV ESPECIAL SARH 17 30H</v>
          </cell>
          <cell r="B487" t="str">
            <v>TV ESPECIAL SARH</v>
          </cell>
          <cell r="C487" t="str">
            <v>Tabela de Valores Especial SARH</v>
          </cell>
          <cell r="D487" t="str">
            <v>30H</v>
          </cell>
          <cell r="E487">
            <v>41365</v>
          </cell>
          <cell r="G487" t="str">
            <v>17</v>
          </cell>
          <cell r="H487" t="str">
            <v>Escr 5</v>
          </cell>
          <cell r="I487" t="str">
            <v>Básico</v>
          </cell>
          <cell r="J487">
            <v>867.49</v>
          </cell>
        </row>
        <row r="488">
          <cell r="A488" t="str">
            <v>TV ESPECIAL SARH 18 30H</v>
          </cell>
          <cell r="B488" t="str">
            <v>TV ESPECIAL SARH</v>
          </cell>
          <cell r="C488" t="str">
            <v>Tabela de Valores Especial SARH</v>
          </cell>
          <cell r="D488" t="str">
            <v>30H</v>
          </cell>
          <cell r="E488">
            <v>41365</v>
          </cell>
          <cell r="G488" t="str">
            <v>18</v>
          </cell>
          <cell r="H488" t="str">
            <v>Escr 6</v>
          </cell>
          <cell r="I488" t="str">
            <v>Básico</v>
          </cell>
          <cell r="J488">
            <v>932.13</v>
          </cell>
        </row>
        <row r="489">
          <cell r="A489" t="str">
            <v>TV ESPECIAL SARH 19 30H</v>
          </cell>
          <cell r="B489" t="str">
            <v>TV ESPECIAL SARH</v>
          </cell>
          <cell r="C489" t="str">
            <v>Tabela de Valores Especial SARH</v>
          </cell>
          <cell r="D489" t="str">
            <v>30H</v>
          </cell>
          <cell r="E489">
            <v>41365</v>
          </cell>
          <cell r="G489" t="str">
            <v>19</v>
          </cell>
          <cell r="H489" t="str">
            <v>Escr 7</v>
          </cell>
          <cell r="I489" t="str">
            <v>Básico</v>
          </cell>
          <cell r="J489">
            <v>1001.68</v>
          </cell>
        </row>
        <row r="490">
          <cell r="A490" t="str">
            <v>TV ESPECIAL SARH 20 30H</v>
          </cell>
          <cell r="B490" t="str">
            <v>TV ESPECIAL SARH</v>
          </cell>
          <cell r="C490" t="str">
            <v>Tabela de Valores Especial SARH</v>
          </cell>
          <cell r="D490" t="str">
            <v>30H</v>
          </cell>
          <cell r="E490">
            <v>41365</v>
          </cell>
          <cell r="G490" t="str">
            <v>20</v>
          </cell>
          <cell r="H490" t="str">
            <v>Escr 8</v>
          </cell>
          <cell r="I490" t="str">
            <v>Básico</v>
          </cell>
          <cell r="J490">
            <v>1076.41</v>
          </cell>
        </row>
        <row r="491">
          <cell r="A491" t="str">
            <v>TV ESPECIAL SARH 21 30H</v>
          </cell>
          <cell r="B491" t="str">
            <v>TV ESPECIAL SARH</v>
          </cell>
          <cell r="C491" t="str">
            <v>Tabela de Valores Especial SARH</v>
          </cell>
          <cell r="D491" t="str">
            <v>30H</v>
          </cell>
          <cell r="E491">
            <v>41365</v>
          </cell>
          <cell r="G491" t="str">
            <v>21</v>
          </cell>
          <cell r="H491" t="str">
            <v>Escr 9</v>
          </cell>
          <cell r="I491" t="str">
            <v>Básico</v>
          </cell>
          <cell r="J491">
            <v>1156.57</v>
          </cell>
        </row>
        <row r="492">
          <cell r="A492" t="str">
            <v>TV ESPECIAL SARH 22 30H</v>
          </cell>
          <cell r="B492" t="str">
            <v>TV ESPECIAL SARH</v>
          </cell>
          <cell r="C492" t="str">
            <v>Tabela de Valores Especial SARH</v>
          </cell>
          <cell r="D492" t="str">
            <v>30H</v>
          </cell>
          <cell r="E492">
            <v>41365</v>
          </cell>
          <cell r="G492" t="str">
            <v>22</v>
          </cell>
          <cell r="H492" t="str">
            <v>Escr 10</v>
          </cell>
          <cell r="I492" t="str">
            <v>Básico</v>
          </cell>
          <cell r="J492">
            <v>1243.09</v>
          </cell>
        </row>
        <row r="493">
          <cell r="A493" t="str">
            <v>TV ESPECIAL SARH 23 30H</v>
          </cell>
          <cell r="B493" t="str">
            <v>TV ESPECIAL SARH</v>
          </cell>
          <cell r="C493" t="str">
            <v>Tabela de Valores Especial SARH</v>
          </cell>
          <cell r="D493" t="str">
            <v>30H</v>
          </cell>
          <cell r="E493">
            <v>41365</v>
          </cell>
          <cell r="G493" t="str">
            <v>23</v>
          </cell>
          <cell r="H493" t="str">
            <v>Escr 11</v>
          </cell>
          <cell r="I493" t="str">
            <v>Básico</v>
          </cell>
          <cell r="J493">
            <v>1335.63</v>
          </cell>
        </row>
        <row r="494">
          <cell r="A494" t="str">
            <v>TV ESPECIAL SARH 24 30H</v>
          </cell>
          <cell r="B494" t="str">
            <v>TV ESPECIAL SARH</v>
          </cell>
          <cell r="C494" t="str">
            <v>Tabela de Valores Especial SARH</v>
          </cell>
          <cell r="D494" t="str">
            <v>30H</v>
          </cell>
          <cell r="E494">
            <v>41365</v>
          </cell>
          <cell r="G494" t="str">
            <v>24</v>
          </cell>
          <cell r="H494" t="str">
            <v>Escr 12</v>
          </cell>
          <cell r="I494" t="str">
            <v>Básico</v>
          </cell>
          <cell r="J494">
            <v>1435.35</v>
          </cell>
        </row>
        <row r="495">
          <cell r="A495" t="str">
            <v>TV ESPECIAL SARH 25 30H</v>
          </cell>
          <cell r="B495" t="str">
            <v>TV ESPECIAL SARH</v>
          </cell>
          <cell r="C495" t="str">
            <v>Tabela de Valores Especial SARH</v>
          </cell>
          <cell r="D495" t="str">
            <v>30H</v>
          </cell>
          <cell r="E495">
            <v>41365</v>
          </cell>
          <cell r="G495" t="str">
            <v>25</v>
          </cell>
          <cell r="H495" t="str">
            <v>Escr 13</v>
          </cell>
          <cell r="I495" t="str">
            <v>Básico</v>
          </cell>
          <cell r="J495">
            <v>1542.26</v>
          </cell>
        </row>
        <row r="496">
          <cell r="A496" t="str">
            <v>TV ESPECIAL SARH 26 30H</v>
          </cell>
          <cell r="B496" t="str">
            <v>TV ESPECIAL SARH</v>
          </cell>
          <cell r="C496" t="str">
            <v>Tabela de Valores Especial SARH</v>
          </cell>
          <cell r="D496" t="str">
            <v>30H</v>
          </cell>
          <cell r="E496">
            <v>41365</v>
          </cell>
          <cell r="G496" t="str">
            <v>26</v>
          </cell>
          <cell r="H496" t="str">
            <v>Escr 14</v>
          </cell>
          <cell r="I496" t="str">
            <v>Básico</v>
          </cell>
          <cell r="J496">
            <v>1657.2</v>
          </cell>
        </row>
        <row r="497">
          <cell r="A497" t="str">
            <v>TV ESPECIAL SARH 27 30H</v>
          </cell>
          <cell r="B497" t="str">
            <v>TV ESPECIAL SARH</v>
          </cell>
          <cell r="C497" t="str">
            <v>Tabela de Valores Especial SARH</v>
          </cell>
          <cell r="D497" t="str">
            <v>30H</v>
          </cell>
          <cell r="E497">
            <v>41365</v>
          </cell>
          <cell r="G497" t="str">
            <v>27</v>
          </cell>
          <cell r="H497" t="str">
            <v>Escr 15 Oper 1</v>
          </cell>
          <cell r="I497" t="str">
            <v>Básico</v>
          </cell>
          <cell r="J497">
            <v>1780.91</v>
          </cell>
        </row>
        <row r="498">
          <cell r="A498" t="str">
            <v>TV ESPECIAL SARH 28 30H</v>
          </cell>
          <cell r="B498" t="str">
            <v>TV ESPECIAL SARH</v>
          </cell>
          <cell r="C498" t="str">
            <v>Tabela de Valores Especial SARH</v>
          </cell>
          <cell r="D498" t="str">
            <v>30H</v>
          </cell>
          <cell r="E498">
            <v>41365</v>
          </cell>
          <cell r="G498" t="str">
            <v>28</v>
          </cell>
          <cell r="H498" t="str">
            <v>Escr 16 Oper 2</v>
          </cell>
          <cell r="I498" t="str">
            <v>Básico</v>
          </cell>
          <cell r="J498">
            <v>1913.84</v>
          </cell>
        </row>
        <row r="499">
          <cell r="A499" t="str">
            <v>TV ESPECIAL SARH 29 30H</v>
          </cell>
          <cell r="B499" t="str">
            <v>TV ESPECIAL SARH</v>
          </cell>
          <cell r="C499" t="str">
            <v>Tabela de Valores Especial SARH</v>
          </cell>
          <cell r="D499" t="str">
            <v>30H</v>
          </cell>
          <cell r="E499">
            <v>41365</v>
          </cell>
          <cell r="G499" t="str">
            <v>29</v>
          </cell>
          <cell r="H499" t="str">
            <v>Escr 17 Oper 3</v>
          </cell>
          <cell r="I499" t="str">
            <v>Básico</v>
          </cell>
          <cell r="J499">
            <v>2056.53</v>
          </cell>
        </row>
        <row r="500">
          <cell r="A500" t="str">
            <v>TV ESPECIAL SARH 30 30H</v>
          </cell>
          <cell r="B500" t="str">
            <v>TV ESPECIAL SARH</v>
          </cell>
          <cell r="C500" t="str">
            <v>Tabela de Valores Especial SARH</v>
          </cell>
          <cell r="D500" t="str">
            <v>30H</v>
          </cell>
          <cell r="E500">
            <v>41365</v>
          </cell>
          <cell r="G500" t="str">
            <v>30</v>
          </cell>
          <cell r="H500" t="str">
            <v>Escr 18 Oper 4</v>
          </cell>
          <cell r="I500" t="str">
            <v>Básico</v>
          </cell>
          <cell r="J500">
            <v>2209.84</v>
          </cell>
        </row>
        <row r="501">
          <cell r="A501" t="str">
            <v>TV ESPECIAL SARH 31 30H</v>
          </cell>
          <cell r="B501" t="str">
            <v>TV ESPECIAL SARH</v>
          </cell>
          <cell r="C501" t="str">
            <v>Tabela de Valores Especial SARH</v>
          </cell>
          <cell r="D501" t="str">
            <v>30H</v>
          </cell>
          <cell r="E501">
            <v>41365</v>
          </cell>
          <cell r="G501" t="str">
            <v>31</v>
          </cell>
          <cell r="H501" t="str">
            <v>Oper 5</v>
          </cell>
          <cell r="I501" t="str">
            <v>Básico</v>
          </cell>
          <cell r="J501">
            <v>2374.67</v>
          </cell>
        </row>
        <row r="502">
          <cell r="A502" t="str">
            <v>TV ESPECIAL SARH 32 30H</v>
          </cell>
          <cell r="B502" t="str">
            <v>TV ESPECIAL SARH</v>
          </cell>
          <cell r="C502" t="str">
            <v>Tabela de Valores Especial SARH</v>
          </cell>
          <cell r="D502" t="str">
            <v>30H</v>
          </cell>
          <cell r="E502">
            <v>41365</v>
          </cell>
          <cell r="G502" t="str">
            <v>32</v>
          </cell>
          <cell r="H502" t="str">
            <v>Oper 6</v>
          </cell>
          <cell r="I502" t="str">
            <v>Básico</v>
          </cell>
          <cell r="J502">
            <v>2551.83</v>
          </cell>
        </row>
        <row r="503">
          <cell r="A503" t="str">
            <v>TV ESPECIAL SARH 33 30H</v>
          </cell>
          <cell r="B503" t="str">
            <v>TV ESPECIAL SARH</v>
          </cell>
          <cell r="C503" t="str">
            <v>Tabela de Valores Especial SARH</v>
          </cell>
          <cell r="D503" t="str">
            <v>30H</v>
          </cell>
          <cell r="E503">
            <v>41365</v>
          </cell>
          <cell r="G503" t="str">
            <v>33</v>
          </cell>
          <cell r="H503" t="str">
            <v>Oper 7</v>
          </cell>
          <cell r="I503" t="str">
            <v>Básico</v>
          </cell>
          <cell r="J503">
            <v>2742.36</v>
          </cell>
        </row>
        <row r="504">
          <cell r="A504" t="str">
            <v>TV ESPECIAL SARH 34 30H</v>
          </cell>
          <cell r="B504" t="str">
            <v>TV ESPECIAL SARH</v>
          </cell>
          <cell r="C504" t="str">
            <v>Tabela de Valores Especial SARH</v>
          </cell>
          <cell r="D504" t="str">
            <v>30H</v>
          </cell>
          <cell r="E504">
            <v>41365</v>
          </cell>
          <cell r="G504" t="str">
            <v>34</v>
          </cell>
          <cell r="H504" t="str">
            <v>Oper 8</v>
          </cell>
          <cell r="I504" t="str">
            <v>Básico</v>
          </cell>
          <cell r="J504">
            <v>2946.71</v>
          </cell>
        </row>
        <row r="505">
          <cell r="A505" t="str">
            <v>TV ESPECIAL SARH 35 30H</v>
          </cell>
          <cell r="B505" t="str">
            <v>TV ESPECIAL SARH</v>
          </cell>
          <cell r="C505" t="str">
            <v>Tabela de Valores Especial SARH</v>
          </cell>
          <cell r="D505" t="str">
            <v>30H</v>
          </cell>
          <cell r="E505">
            <v>41365</v>
          </cell>
          <cell r="G505" t="str">
            <v>35</v>
          </cell>
          <cell r="H505" t="str">
            <v>Oper 9</v>
          </cell>
          <cell r="I505" t="str">
            <v>Básico</v>
          </cell>
          <cell r="J505">
            <v>3166.4</v>
          </cell>
        </row>
        <row r="506">
          <cell r="A506" t="str">
            <v>TV ESPECIAL SARH 36 30H</v>
          </cell>
          <cell r="B506" t="str">
            <v>TV ESPECIAL SARH</v>
          </cell>
          <cell r="C506" t="str">
            <v>Tabela de Valores Especial SARH</v>
          </cell>
          <cell r="D506" t="str">
            <v>30H</v>
          </cell>
          <cell r="E506">
            <v>41365</v>
          </cell>
          <cell r="G506" t="str">
            <v>36</v>
          </cell>
          <cell r="H506" t="str">
            <v>Oper 10 - Cons A</v>
          </cell>
          <cell r="I506" t="str">
            <v>Básico</v>
          </cell>
          <cell r="J506">
            <v>3402.49</v>
          </cell>
        </row>
        <row r="507">
          <cell r="A507" t="str">
            <v>TV ESPECIAL SARH 37 30H</v>
          </cell>
          <cell r="B507" t="str">
            <v>TV ESPECIAL SARH</v>
          </cell>
          <cell r="C507" t="str">
            <v>Tabela de Valores Especial SARH</v>
          </cell>
          <cell r="D507" t="str">
            <v>30H</v>
          </cell>
          <cell r="E507">
            <v>41365</v>
          </cell>
          <cell r="G507" t="str">
            <v>37</v>
          </cell>
          <cell r="H507" t="str">
            <v>Cons B</v>
          </cell>
          <cell r="I507" t="str">
            <v>Básico</v>
          </cell>
          <cell r="J507">
            <v>3656.84</v>
          </cell>
        </row>
        <row r="508">
          <cell r="A508" t="str">
            <v>TV ESPECIAL SARH 38 30H</v>
          </cell>
          <cell r="B508" t="str">
            <v>TV ESPECIAL SARH</v>
          </cell>
          <cell r="C508" t="str">
            <v>Tabela de Valores Especial SARH</v>
          </cell>
          <cell r="D508" t="str">
            <v>30H</v>
          </cell>
          <cell r="E508">
            <v>41365</v>
          </cell>
          <cell r="G508" t="str">
            <v>38</v>
          </cell>
          <cell r="H508" t="str">
            <v>Cons C</v>
          </cell>
          <cell r="I508" t="str">
            <v>Básico</v>
          </cell>
          <cell r="J508">
            <v>3929.27</v>
          </cell>
        </row>
        <row r="509">
          <cell r="A509" t="str">
            <v>TV ESPECIAL SARH 39 30H</v>
          </cell>
          <cell r="B509" t="str">
            <v>TV ESPECIAL SARH</v>
          </cell>
          <cell r="C509" t="str">
            <v>Tabela de Valores Especial SARH</v>
          </cell>
          <cell r="D509" t="str">
            <v>30H</v>
          </cell>
          <cell r="E509">
            <v>41365</v>
          </cell>
          <cell r="G509" t="str">
            <v>39</v>
          </cell>
          <cell r="H509" t="str">
            <v>Cons D</v>
          </cell>
          <cell r="I509" t="str">
            <v>Básico</v>
          </cell>
          <cell r="J509">
            <v>4222.41</v>
          </cell>
        </row>
        <row r="510">
          <cell r="A510" t="str">
            <v>TV ESPECIAL ST 01 40H</v>
          </cell>
          <cell r="B510" t="str">
            <v>TV ESPECIAL ST</v>
          </cell>
          <cell r="C510" t="str">
            <v>Tabela de Valores Especial Sec Transporte - Nível Médio</v>
          </cell>
          <cell r="D510" t="str">
            <v>40H</v>
          </cell>
          <cell r="E510">
            <v>41334</v>
          </cell>
          <cell r="G510" t="str">
            <v>01</v>
          </cell>
          <cell r="H510" t="str">
            <v>Pd 01</v>
          </cell>
          <cell r="I510" t="str">
            <v>Básico</v>
          </cell>
          <cell r="J510">
            <v>591.14</v>
          </cell>
          <cell r="K510" t="str">
            <v>Parc Aut Especial</v>
          </cell>
          <cell r="L510">
            <v>40</v>
          </cell>
        </row>
        <row r="511">
          <cell r="A511" t="str">
            <v>TV ESPECIAL ST 02 40H</v>
          </cell>
          <cell r="B511" t="str">
            <v>TV ESPECIAL ST</v>
          </cell>
          <cell r="C511" t="str">
            <v>Tabela de Valores Especial Sec Transporte - Nível Médio</v>
          </cell>
          <cell r="D511" t="str">
            <v>40H</v>
          </cell>
          <cell r="E511">
            <v>41334</v>
          </cell>
          <cell r="G511" t="str">
            <v>02</v>
          </cell>
          <cell r="H511" t="str">
            <v>Pd 02</v>
          </cell>
          <cell r="I511" t="str">
            <v>Básico</v>
          </cell>
          <cell r="J511">
            <v>620.69</v>
          </cell>
          <cell r="K511" t="str">
            <v>Parc Aut Especial</v>
          </cell>
          <cell r="L511">
            <v>42</v>
          </cell>
        </row>
        <row r="512">
          <cell r="A512" t="str">
            <v>TV ESPECIAL ST 03 40H</v>
          </cell>
          <cell r="B512" t="str">
            <v>TV ESPECIAL ST</v>
          </cell>
          <cell r="C512" t="str">
            <v>Tabela de Valores Especial Sec Transporte - Nível Médio</v>
          </cell>
          <cell r="D512" t="str">
            <v>40H</v>
          </cell>
          <cell r="E512">
            <v>41334</v>
          </cell>
          <cell r="G512" t="str">
            <v>03</v>
          </cell>
          <cell r="H512" t="str">
            <v>Pd 03</v>
          </cell>
          <cell r="I512" t="str">
            <v>Básico</v>
          </cell>
          <cell r="J512">
            <v>651.73</v>
          </cell>
          <cell r="K512" t="str">
            <v>Parc Aut Especial</v>
          </cell>
          <cell r="L512">
            <v>44</v>
          </cell>
        </row>
        <row r="513">
          <cell r="A513" t="str">
            <v>TV ESPECIAL ST 04 40H</v>
          </cell>
          <cell r="B513" t="str">
            <v>TV ESPECIAL ST</v>
          </cell>
          <cell r="C513" t="str">
            <v>Tabela de Valores Especial Sec Transporte - Nível Médio</v>
          </cell>
          <cell r="D513" t="str">
            <v>40H</v>
          </cell>
          <cell r="E513">
            <v>41334</v>
          </cell>
          <cell r="G513" t="str">
            <v>04</v>
          </cell>
          <cell r="H513" t="str">
            <v>Pd 04</v>
          </cell>
          <cell r="I513" t="str">
            <v>Básico</v>
          </cell>
          <cell r="J513">
            <v>684.33</v>
          </cell>
          <cell r="K513" t="str">
            <v>Parc Aut Especial</v>
          </cell>
          <cell r="L513">
            <v>47</v>
          </cell>
        </row>
        <row r="514">
          <cell r="A514" t="str">
            <v>TV ESPECIAL ST 05 40H</v>
          </cell>
          <cell r="B514" t="str">
            <v>TV ESPECIAL ST</v>
          </cell>
          <cell r="C514" t="str">
            <v>Tabela de Valores Especial Sec Transporte - Nível Médio</v>
          </cell>
          <cell r="D514" t="str">
            <v>40H</v>
          </cell>
          <cell r="E514">
            <v>41334</v>
          </cell>
          <cell r="G514" t="str">
            <v>05</v>
          </cell>
          <cell r="H514" t="str">
            <v>Pd 05</v>
          </cell>
          <cell r="I514" t="str">
            <v>Básico</v>
          </cell>
          <cell r="J514">
            <v>709.37</v>
          </cell>
          <cell r="K514" t="str">
            <v>Parc Aut Especial</v>
          </cell>
          <cell r="L514">
            <v>48</v>
          </cell>
        </row>
        <row r="515">
          <cell r="A515" t="str">
            <v>TV ESPECIAL ST 06 40H</v>
          </cell>
          <cell r="B515" t="str">
            <v>TV ESPECIAL ST</v>
          </cell>
          <cell r="C515" t="str">
            <v>Tabela de Valores Especial Sec Transporte - Nível Médio</v>
          </cell>
          <cell r="D515" t="str">
            <v>40H</v>
          </cell>
          <cell r="E515">
            <v>41334</v>
          </cell>
          <cell r="G515" t="str">
            <v>06</v>
          </cell>
          <cell r="H515" t="str">
            <v>Pd 06</v>
          </cell>
          <cell r="I515" t="str">
            <v>Básico</v>
          </cell>
          <cell r="J515">
            <v>744.84</v>
          </cell>
          <cell r="K515" t="str">
            <v>Parc Aut Especial</v>
          </cell>
          <cell r="L515">
            <v>51</v>
          </cell>
        </row>
        <row r="516">
          <cell r="A516" t="str">
            <v>TV ESPECIAL ST 07 40H</v>
          </cell>
          <cell r="B516" t="str">
            <v>TV ESPECIAL ST</v>
          </cell>
          <cell r="C516" t="str">
            <v>Tabela de Valores Especial Sec Transporte - Nível Médio</v>
          </cell>
          <cell r="D516" t="str">
            <v>40H</v>
          </cell>
          <cell r="E516">
            <v>41334</v>
          </cell>
          <cell r="G516" t="str">
            <v>07</v>
          </cell>
          <cell r="H516" t="str">
            <v>Pd 07</v>
          </cell>
          <cell r="I516" t="str">
            <v>Básico</v>
          </cell>
          <cell r="J516">
            <v>782.09</v>
          </cell>
          <cell r="K516" t="str">
            <v>Parc Aut Especial</v>
          </cell>
          <cell r="L516">
            <v>53</v>
          </cell>
        </row>
        <row r="517">
          <cell r="A517" t="str">
            <v>TV ESPECIAL ST 08 40H</v>
          </cell>
          <cell r="B517" t="str">
            <v>TV ESPECIAL ST</v>
          </cell>
          <cell r="C517" t="str">
            <v>Tabela de Valores Especial Sec Transporte - Nível Médio</v>
          </cell>
          <cell r="D517" t="str">
            <v>40H</v>
          </cell>
          <cell r="E517">
            <v>41334</v>
          </cell>
          <cell r="G517" t="str">
            <v>08</v>
          </cell>
          <cell r="H517" t="str">
            <v>Pd 08</v>
          </cell>
          <cell r="I517" t="str">
            <v>Básico</v>
          </cell>
          <cell r="J517">
            <v>821.18</v>
          </cell>
          <cell r="K517" t="str">
            <v>Parc Aut Especial</v>
          </cell>
          <cell r="L517">
            <v>56</v>
          </cell>
        </row>
        <row r="518">
          <cell r="A518" t="str">
            <v>TV ESPECIAL ST 09 40H</v>
          </cell>
          <cell r="B518" t="str">
            <v>TV ESPECIAL ST</v>
          </cell>
          <cell r="C518" t="str">
            <v>Tabela de Valores Especial Sec Transporte - Nível Médio</v>
          </cell>
          <cell r="D518" t="str">
            <v>40H</v>
          </cell>
          <cell r="E518">
            <v>41334</v>
          </cell>
          <cell r="G518" t="str">
            <v>09</v>
          </cell>
          <cell r="H518" t="str">
            <v>Pd 09</v>
          </cell>
          <cell r="I518" t="str">
            <v>Básico</v>
          </cell>
          <cell r="J518">
            <v>857.16</v>
          </cell>
          <cell r="K518" t="str">
            <v>Parc Aut Especial</v>
          </cell>
          <cell r="L518">
            <v>58</v>
          </cell>
        </row>
        <row r="519">
          <cell r="A519" t="str">
            <v>TV ESPECIAL ST 10 40H</v>
          </cell>
          <cell r="B519" t="str">
            <v>TV ESPECIAL ST</v>
          </cell>
          <cell r="C519" t="str">
            <v>Tabela de Valores Especial Sec Transporte - Nível Médio</v>
          </cell>
          <cell r="D519" t="str">
            <v>40H</v>
          </cell>
          <cell r="E519">
            <v>41334</v>
          </cell>
          <cell r="G519" t="str">
            <v>10</v>
          </cell>
          <cell r="H519" t="str">
            <v>Pd 10</v>
          </cell>
          <cell r="I519" t="str">
            <v>Básico</v>
          </cell>
          <cell r="J519">
            <v>900.01</v>
          </cell>
          <cell r="K519" t="str">
            <v>Parc Aut Especial</v>
          </cell>
          <cell r="L519">
            <v>61</v>
          </cell>
        </row>
        <row r="520">
          <cell r="A520" t="str">
            <v>TV ESPECIAL ST 11 40H</v>
          </cell>
          <cell r="B520" t="str">
            <v>TV ESPECIAL ST</v>
          </cell>
          <cell r="C520" t="str">
            <v>Tabela de Valores Especial Sec Transporte - Nível Médio</v>
          </cell>
          <cell r="D520" t="str">
            <v>40H</v>
          </cell>
          <cell r="E520">
            <v>41334</v>
          </cell>
          <cell r="G520" t="str">
            <v>11</v>
          </cell>
          <cell r="H520" t="str">
            <v>Pd 11</v>
          </cell>
          <cell r="I520" t="str">
            <v>Básico</v>
          </cell>
          <cell r="J520">
            <v>945.02</v>
          </cell>
          <cell r="K520" t="str">
            <v>Parc Aut Especial</v>
          </cell>
          <cell r="L520">
            <v>64</v>
          </cell>
        </row>
        <row r="521">
          <cell r="A521" t="str">
            <v>TV ESPECIAL ST 12 40H</v>
          </cell>
          <cell r="B521" t="str">
            <v>TV ESPECIAL ST</v>
          </cell>
          <cell r="C521" t="str">
            <v>Tabela de Valores Especial Sec Transporte - Nível Médio</v>
          </cell>
          <cell r="D521" t="str">
            <v>40H</v>
          </cell>
          <cell r="E521">
            <v>41334</v>
          </cell>
          <cell r="G521" t="str">
            <v>12</v>
          </cell>
          <cell r="H521" t="str">
            <v>Pd 12</v>
          </cell>
          <cell r="I521" t="str">
            <v>Básico</v>
          </cell>
          <cell r="J521">
            <v>992.27</v>
          </cell>
          <cell r="K521" t="str">
            <v>Parc Aut Especial</v>
          </cell>
          <cell r="L521">
            <v>67</v>
          </cell>
        </row>
        <row r="522">
          <cell r="A522" t="str">
            <v>TV ESPECIAL ST 13 40H</v>
          </cell>
          <cell r="B522" t="str">
            <v>TV ESPECIAL ST</v>
          </cell>
          <cell r="C522" t="str">
            <v>Tabela de Valores Especial Sec Transporte - Nível Médio</v>
          </cell>
          <cell r="D522" t="str">
            <v>40H</v>
          </cell>
          <cell r="E522">
            <v>41334</v>
          </cell>
          <cell r="G522" t="str">
            <v>13</v>
          </cell>
          <cell r="H522" t="str">
            <v>Pd 13</v>
          </cell>
          <cell r="I522" t="str">
            <v>Básico</v>
          </cell>
          <cell r="J522">
            <v>1064.05</v>
          </cell>
          <cell r="K522" t="str">
            <v>Parc Aut Especial</v>
          </cell>
          <cell r="L522">
            <v>72</v>
          </cell>
        </row>
        <row r="523">
          <cell r="A523" t="str">
            <v>TV ESPECIAL ST 14 40H</v>
          </cell>
          <cell r="B523" t="str">
            <v>TV ESPECIAL ST</v>
          </cell>
          <cell r="C523" t="str">
            <v>Tabela de Valores Especial Sec Transporte - Nível Médio</v>
          </cell>
          <cell r="D523" t="str">
            <v>40H</v>
          </cell>
          <cell r="E523">
            <v>41334</v>
          </cell>
          <cell r="G523" t="str">
            <v>14</v>
          </cell>
          <cell r="H523" t="str">
            <v>Pd 14</v>
          </cell>
          <cell r="I523" t="str">
            <v>Básico</v>
          </cell>
          <cell r="J523">
            <v>1117.26</v>
          </cell>
          <cell r="K523" t="str">
            <v>Parc Aut Especial</v>
          </cell>
          <cell r="L523">
            <v>76</v>
          </cell>
        </row>
        <row r="524">
          <cell r="A524" t="str">
            <v>TV ESPECIAL ST 15 40H</v>
          </cell>
          <cell r="B524" t="str">
            <v>TV ESPECIAL ST</v>
          </cell>
          <cell r="C524" t="str">
            <v>Tabela de Valores Especial Sec Transporte - Nível Médio</v>
          </cell>
          <cell r="D524" t="str">
            <v>40H</v>
          </cell>
          <cell r="E524">
            <v>41334</v>
          </cell>
          <cell r="G524" t="str">
            <v>15</v>
          </cell>
          <cell r="H524" t="str">
            <v>Pd 15</v>
          </cell>
          <cell r="I524" t="str">
            <v>Básico</v>
          </cell>
          <cell r="J524">
            <v>1173.12</v>
          </cell>
          <cell r="K524" t="str">
            <v>Parc Aut Especial</v>
          </cell>
          <cell r="L524">
            <v>79</v>
          </cell>
        </row>
        <row r="525">
          <cell r="A525" t="str">
            <v>TV ESPECIAL ST 16 40H</v>
          </cell>
          <cell r="B525" t="str">
            <v>TV ESPECIAL ST</v>
          </cell>
          <cell r="C525" t="str">
            <v>Tabela de Valores Especial Sec Transporte - Nível Médio</v>
          </cell>
          <cell r="D525" t="str">
            <v>40H</v>
          </cell>
          <cell r="E525">
            <v>41334</v>
          </cell>
          <cell r="G525" t="str">
            <v>16</v>
          </cell>
          <cell r="H525" t="str">
            <v>Pd 16</v>
          </cell>
          <cell r="I525" t="str">
            <v>Básico</v>
          </cell>
          <cell r="J525">
            <v>1231.77</v>
          </cell>
          <cell r="K525" t="str">
            <v>Parc Aut Especial</v>
          </cell>
          <cell r="L525">
            <v>83</v>
          </cell>
        </row>
        <row r="526">
          <cell r="A526" t="str">
            <v>TV ESPECIAL SUP SCT 01 40H</v>
          </cell>
          <cell r="B526" t="str">
            <v>TV ESPECIAL SUP SCT</v>
          </cell>
          <cell r="C526" t="str">
            <v>Tabela de Valores Especial SCT - Nível Superior</v>
          </cell>
          <cell r="D526" t="str">
            <v>40H</v>
          </cell>
          <cell r="E526">
            <v>41334</v>
          </cell>
          <cell r="G526" t="str">
            <v>01</v>
          </cell>
          <cell r="H526" t="str">
            <v>Cl A</v>
          </cell>
          <cell r="I526" t="str">
            <v>Básico</v>
          </cell>
          <cell r="J526">
            <v>5500.8</v>
          </cell>
        </row>
        <row r="527">
          <cell r="A527" t="str">
            <v>TV ESPECIAL SUP SCT 02 40H</v>
          </cell>
          <cell r="B527" t="str">
            <v>TV ESPECIAL SUP SCT</v>
          </cell>
          <cell r="C527" t="str">
            <v>Tabela de Valores Especial SCT - Nível Superior</v>
          </cell>
          <cell r="D527" t="str">
            <v>40H</v>
          </cell>
          <cell r="E527">
            <v>41334</v>
          </cell>
          <cell r="G527" t="str">
            <v>02</v>
          </cell>
          <cell r="H527" t="str">
            <v>Cl B</v>
          </cell>
          <cell r="I527" t="str">
            <v>Básico</v>
          </cell>
          <cell r="J527">
            <v>5610.99</v>
          </cell>
        </row>
        <row r="528">
          <cell r="A528" t="str">
            <v>TV ESPECIAL SUP SCT 03 40H</v>
          </cell>
          <cell r="B528" t="str">
            <v>TV ESPECIAL SUP SCT</v>
          </cell>
          <cell r="C528" t="str">
            <v>Tabela de Valores Especial SCT - Nível Superior</v>
          </cell>
          <cell r="D528" t="str">
            <v>40H</v>
          </cell>
          <cell r="E528">
            <v>41334</v>
          </cell>
          <cell r="G528" t="str">
            <v>03</v>
          </cell>
          <cell r="H528" t="str">
            <v>Cl C</v>
          </cell>
          <cell r="I528" t="str">
            <v>Básico</v>
          </cell>
          <cell r="J528">
            <v>5723.44</v>
          </cell>
        </row>
        <row r="529">
          <cell r="A529" t="str">
            <v>TV ESPECIAL SUP SCT 04 40H</v>
          </cell>
          <cell r="B529" t="str">
            <v>TV ESPECIAL SUP SCT</v>
          </cell>
          <cell r="C529" t="str">
            <v>Tabela de Valores Especial SCT - Nível Superior</v>
          </cell>
          <cell r="D529" t="str">
            <v>40H</v>
          </cell>
          <cell r="E529">
            <v>41334</v>
          </cell>
          <cell r="G529" t="str">
            <v>04</v>
          </cell>
          <cell r="H529" t="str">
            <v>Cl D</v>
          </cell>
          <cell r="I529" t="str">
            <v>Básico</v>
          </cell>
          <cell r="J529">
            <v>5838.13</v>
          </cell>
        </row>
        <row r="530">
          <cell r="A530" t="str">
            <v>TV FAZENDA 01 40H</v>
          </cell>
          <cell r="B530" t="str">
            <v>TV FAZENDA</v>
          </cell>
          <cell r="C530" t="str">
            <v>Tabela de Valores Servidores da Fazenda</v>
          </cell>
          <cell r="D530" t="str">
            <v>40H</v>
          </cell>
          <cell r="E530">
            <v>41640</v>
          </cell>
          <cell r="G530" t="str">
            <v>01</v>
          </cell>
          <cell r="H530" t="str">
            <v>Niv II Cl A</v>
          </cell>
          <cell r="I530" t="str">
            <v>Básico</v>
          </cell>
          <cell r="J530">
            <v>1065.68</v>
          </cell>
          <cell r="K530" t="str">
            <v>PPE</v>
          </cell>
        </row>
        <row r="531">
          <cell r="A531" t="str">
            <v>TV FAZENDA 02 40H</v>
          </cell>
          <cell r="B531" t="str">
            <v>TV FAZENDA</v>
          </cell>
          <cell r="C531" t="str">
            <v>Tabela de Valores Servidores da Fazenda</v>
          </cell>
          <cell r="D531" t="str">
            <v>40H</v>
          </cell>
          <cell r="E531">
            <v>41640</v>
          </cell>
          <cell r="G531" t="str">
            <v>02</v>
          </cell>
          <cell r="H531" t="str">
            <v>Niv I Cl D</v>
          </cell>
          <cell r="I531" t="str">
            <v>Básico</v>
          </cell>
          <cell r="J531">
            <v>1006.59</v>
          </cell>
          <cell r="K531" t="str">
            <v>PPE</v>
          </cell>
        </row>
        <row r="532">
          <cell r="A532" t="str">
            <v>TV FAZENDA 03 40H</v>
          </cell>
          <cell r="B532" t="str">
            <v>TV FAZENDA</v>
          </cell>
          <cell r="C532" t="str">
            <v>Tabela de Valores Servidores da Fazenda</v>
          </cell>
          <cell r="D532" t="str">
            <v>40H</v>
          </cell>
          <cell r="E532">
            <v>41640</v>
          </cell>
          <cell r="G532" t="str">
            <v>03</v>
          </cell>
          <cell r="H532" t="str">
            <v>Niv I Cl C</v>
          </cell>
          <cell r="I532" t="str">
            <v>Básico</v>
          </cell>
          <cell r="J532">
            <v>930.22</v>
          </cell>
          <cell r="K532" t="str">
            <v>PPE</v>
          </cell>
        </row>
        <row r="533">
          <cell r="A533" t="str">
            <v>TV FAZENDA 04 40H</v>
          </cell>
          <cell r="B533" t="str">
            <v>TV FAZENDA</v>
          </cell>
          <cell r="C533" t="str">
            <v>Tabela de Valores Servidores da Fazenda</v>
          </cell>
          <cell r="D533" t="str">
            <v>40H</v>
          </cell>
          <cell r="E533">
            <v>41640</v>
          </cell>
          <cell r="G533" t="str">
            <v>04</v>
          </cell>
          <cell r="H533" t="str">
            <v>Aux Serv Compl</v>
          </cell>
          <cell r="I533" t="str">
            <v>Básico</v>
          </cell>
          <cell r="J533">
            <v>1572.8</v>
          </cell>
          <cell r="K533" t="str">
            <v>PPE</v>
          </cell>
        </row>
        <row r="534">
          <cell r="A534" t="str">
            <v>TV FAZENDA 05 40H</v>
          </cell>
          <cell r="B534" t="str">
            <v>TV FAZENDA</v>
          </cell>
          <cell r="C534" t="str">
            <v>Tabela de Valores Servidores da Fazenda</v>
          </cell>
          <cell r="D534" t="str">
            <v>40H</v>
          </cell>
          <cell r="E534">
            <v>41640</v>
          </cell>
          <cell r="G534" t="str">
            <v>05</v>
          </cell>
          <cell r="H534" t="str">
            <v>Inspetor</v>
          </cell>
          <cell r="I534" t="str">
            <v>Básico</v>
          </cell>
          <cell r="J534">
            <v>12362.2</v>
          </cell>
          <cell r="K534" t="str">
            <v>PPE</v>
          </cell>
          <cell r="L534">
            <v>1</v>
          </cell>
        </row>
        <row r="535">
          <cell r="A535" t="str">
            <v>TV FAZENDA 06 40H</v>
          </cell>
          <cell r="B535" t="str">
            <v>TV FAZENDA</v>
          </cell>
          <cell r="C535" t="str">
            <v>Tabela de Valores Servidores da Fazenda</v>
          </cell>
          <cell r="D535" t="str">
            <v>40H</v>
          </cell>
          <cell r="E535">
            <v>41640</v>
          </cell>
          <cell r="G535" t="str">
            <v>06</v>
          </cell>
          <cell r="H535" t="str">
            <v>AFTE-Cl A</v>
          </cell>
          <cell r="I535" t="str">
            <v>Básico</v>
          </cell>
          <cell r="J535">
            <v>10940</v>
          </cell>
          <cell r="K535" t="str">
            <v>PPE</v>
          </cell>
          <cell r="L535">
            <v>1</v>
          </cell>
        </row>
        <row r="536">
          <cell r="A536" t="str">
            <v>TV FAZENDA 07 40H</v>
          </cell>
          <cell r="B536" t="str">
            <v>TV FAZENDA</v>
          </cell>
          <cell r="C536" t="str">
            <v>Tabela de Valores Servidores da Fazenda</v>
          </cell>
          <cell r="D536" t="str">
            <v>40H</v>
          </cell>
          <cell r="E536">
            <v>41640</v>
          </cell>
          <cell r="G536" t="str">
            <v>07</v>
          </cell>
          <cell r="H536" t="str">
            <v>AFTE-Cl B</v>
          </cell>
          <cell r="I536" t="str">
            <v>Básico</v>
          </cell>
          <cell r="J536">
            <v>11377.6</v>
          </cell>
          <cell r="K536" t="str">
            <v>PPE</v>
          </cell>
          <cell r="L536">
            <v>1</v>
          </cell>
        </row>
        <row r="537">
          <cell r="A537" t="str">
            <v>TV FAZENDA 08 40H</v>
          </cell>
          <cell r="B537" t="str">
            <v>TV FAZENDA</v>
          </cell>
          <cell r="C537" t="str">
            <v>Tabela de Valores Servidores da Fazenda</v>
          </cell>
          <cell r="D537" t="str">
            <v>40H</v>
          </cell>
          <cell r="E537">
            <v>41640</v>
          </cell>
          <cell r="G537" t="str">
            <v>08</v>
          </cell>
          <cell r="H537" t="str">
            <v>AFTE-Cl C</v>
          </cell>
          <cell r="I537" t="str">
            <v>Básico</v>
          </cell>
          <cell r="J537">
            <v>11705.8</v>
          </cell>
          <cell r="K537" t="str">
            <v>PPE</v>
          </cell>
          <cell r="L537">
            <v>1</v>
          </cell>
        </row>
        <row r="538">
          <cell r="A538" t="str">
            <v>TV FAZENDA 09 40H</v>
          </cell>
          <cell r="B538" t="str">
            <v>TV FAZENDA</v>
          </cell>
          <cell r="C538" t="str">
            <v>Tabela de Valores Servidores da Fazenda</v>
          </cell>
          <cell r="D538" t="str">
            <v>40H</v>
          </cell>
          <cell r="E538">
            <v>41640</v>
          </cell>
          <cell r="G538" t="str">
            <v>09</v>
          </cell>
          <cell r="H538" t="str">
            <v>AFTE-Cl D</v>
          </cell>
          <cell r="I538" t="str">
            <v>Básico</v>
          </cell>
          <cell r="J538">
            <v>12034</v>
          </cell>
          <cell r="K538" t="str">
            <v>PPE</v>
          </cell>
          <cell r="L538">
            <v>1</v>
          </cell>
        </row>
        <row r="539">
          <cell r="A539" t="str">
            <v>TV FAZENDA 10 40H</v>
          </cell>
          <cell r="B539" t="str">
            <v>TV FAZENDA</v>
          </cell>
          <cell r="C539" t="str">
            <v>Tabela de Valores Servidores da Fazenda</v>
          </cell>
          <cell r="D539" t="str">
            <v>40H</v>
          </cell>
          <cell r="E539">
            <v>41640</v>
          </cell>
          <cell r="G539" t="str">
            <v>10</v>
          </cell>
          <cell r="H539" t="str">
            <v>AFTE-Cl E</v>
          </cell>
          <cell r="I539" t="str">
            <v>Básico</v>
          </cell>
          <cell r="J539">
            <v>12362.2</v>
          </cell>
          <cell r="K539" t="str">
            <v>PPE</v>
          </cell>
          <cell r="L539">
            <v>1</v>
          </cell>
        </row>
        <row r="540">
          <cell r="A540" t="str">
            <v>TV FAZENDA 11 40H</v>
          </cell>
          <cell r="B540" t="str">
            <v>TV FAZENDA</v>
          </cell>
          <cell r="C540" t="str">
            <v>Tabela de Valores Servidores da Fazenda</v>
          </cell>
          <cell r="D540" t="str">
            <v>40H</v>
          </cell>
          <cell r="E540">
            <v>41640</v>
          </cell>
          <cell r="G540" t="str">
            <v>11</v>
          </cell>
          <cell r="H540" t="str">
            <v>TTE - Cl A</v>
          </cell>
          <cell r="I540" t="str">
            <v>Básico</v>
          </cell>
          <cell r="J540">
            <v>4620</v>
          </cell>
          <cell r="K540" t="str">
            <v>PPE</v>
          </cell>
          <cell r="L540">
            <v>2</v>
          </cell>
        </row>
        <row r="541">
          <cell r="A541" t="str">
            <v>TV FAZENDA 12 40H</v>
          </cell>
          <cell r="B541" t="str">
            <v>TV FAZENDA</v>
          </cell>
          <cell r="C541" t="str">
            <v>Tabela de Valores Servidores da Fazenda</v>
          </cell>
          <cell r="D541" t="str">
            <v>40H</v>
          </cell>
          <cell r="E541">
            <v>41640</v>
          </cell>
          <cell r="G541" t="str">
            <v>12</v>
          </cell>
          <cell r="H541" t="str">
            <v>TTE - Cl B</v>
          </cell>
          <cell r="I541" t="str">
            <v>Básico</v>
          </cell>
          <cell r="J541">
            <v>4897.2</v>
          </cell>
          <cell r="K541" t="str">
            <v>PPE</v>
          </cell>
          <cell r="L541">
            <v>2</v>
          </cell>
        </row>
        <row r="542">
          <cell r="A542" t="str">
            <v>TV FAZENDA 13 40H</v>
          </cell>
          <cell r="B542" t="str">
            <v>TV FAZENDA</v>
          </cell>
          <cell r="C542" t="str">
            <v>Tabela de Valores Servidores da Fazenda</v>
          </cell>
          <cell r="D542" t="str">
            <v>40H</v>
          </cell>
          <cell r="E542">
            <v>41640</v>
          </cell>
          <cell r="G542" t="str">
            <v>13</v>
          </cell>
          <cell r="H542" t="str">
            <v>TTE - Cl C</v>
          </cell>
          <cell r="I542" t="str">
            <v>Básico</v>
          </cell>
          <cell r="J542">
            <v>5174.4</v>
          </cell>
          <cell r="K542" t="str">
            <v>PPE</v>
          </cell>
          <cell r="L542">
            <v>2</v>
          </cell>
        </row>
        <row r="543">
          <cell r="A543" t="str">
            <v>TV FAZENDA 14 40H</v>
          </cell>
          <cell r="B543" t="str">
            <v>TV FAZENDA</v>
          </cell>
          <cell r="C543" t="str">
            <v>Tabela de Valores Servidores da Fazenda</v>
          </cell>
          <cell r="D543" t="str">
            <v>40H</v>
          </cell>
          <cell r="E543">
            <v>41640</v>
          </cell>
          <cell r="G543" t="str">
            <v>14</v>
          </cell>
          <cell r="H543" t="str">
            <v>TTE - Cl D</v>
          </cell>
          <cell r="I543" t="str">
            <v>Básico</v>
          </cell>
          <cell r="J543">
            <v>5451.6</v>
          </cell>
          <cell r="K543" t="str">
            <v>PPE</v>
          </cell>
          <cell r="L543">
            <v>2</v>
          </cell>
        </row>
        <row r="544">
          <cell r="A544" t="str">
            <v>TV FAZENDA 15 40H</v>
          </cell>
          <cell r="B544" t="str">
            <v>TV FAZENDA</v>
          </cell>
          <cell r="C544" t="str">
            <v>Tabela de Valores Servidores da Fazenda</v>
          </cell>
          <cell r="D544" t="str">
            <v>40H</v>
          </cell>
          <cell r="E544">
            <v>41640</v>
          </cell>
          <cell r="G544" t="str">
            <v>15</v>
          </cell>
          <cell r="H544" t="str">
            <v>TTE - Cl E</v>
          </cell>
          <cell r="I544" t="str">
            <v>Básico</v>
          </cell>
          <cell r="J544">
            <v>5728.8</v>
          </cell>
          <cell r="K544" t="str">
            <v>PPE</v>
          </cell>
          <cell r="L544">
            <v>2</v>
          </cell>
        </row>
        <row r="545">
          <cell r="A545" t="str">
            <v>TV FAZENDA 16 40H</v>
          </cell>
          <cell r="B545" t="str">
            <v>TV FAZENDA</v>
          </cell>
          <cell r="C545" t="str">
            <v>Tabela de Valores Servidores da Fazenda</v>
          </cell>
          <cell r="D545" t="str">
            <v>40H</v>
          </cell>
          <cell r="E545">
            <v>41640</v>
          </cell>
          <cell r="G545" t="str">
            <v>16</v>
          </cell>
          <cell r="H545" t="str">
            <v>AFA - Cl A</v>
          </cell>
          <cell r="I545" t="str">
            <v>Básico</v>
          </cell>
          <cell r="J545">
            <v>1900</v>
          </cell>
          <cell r="K545" t="str">
            <v>PPE</v>
          </cell>
        </row>
        <row r="546">
          <cell r="A546" t="str">
            <v>TV FAZENDA 17 40H</v>
          </cell>
          <cell r="B546" t="str">
            <v>TV FAZENDA</v>
          </cell>
          <cell r="C546" t="str">
            <v>Tabela de Valores Servidores da Fazenda</v>
          </cell>
          <cell r="D546" t="str">
            <v>40H</v>
          </cell>
          <cell r="E546">
            <v>41640</v>
          </cell>
          <cell r="G546" t="str">
            <v>17</v>
          </cell>
          <cell r="H546" t="str">
            <v>AFA - Cl B</v>
          </cell>
          <cell r="I546" t="str">
            <v>Básico</v>
          </cell>
          <cell r="J546">
            <v>2014</v>
          </cell>
          <cell r="K546" t="str">
            <v>PPE</v>
          </cell>
        </row>
        <row r="547">
          <cell r="A547" t="str">
            <v>TV FAZENDA 18 40H</v>
          </cell>
          <cell r="B547" t="str">
            <v>TV FAZENDA</v>
          </cell>
          <cell r="C547" t="str">
            <v>Tabela de Valores Servidores da Fazenda</v>
          </cell>
          <cell r="D547" t="str">
            <v>40H</v>
          </cell>
          <cell r="E547">
            <v>41640</v>
          </cell>
          <cell r="G547" t="str">
            <v>18</v>
          </cell>
          <cell r="H547" t="str">
            <v>AFA - Cl C</v>
          </cell>
          <cell r="I547" t="str">
            <v>Básico</v>
          </cell>
          <cell r="J547">
            <v>2128</v>
          </cell>
          <cell r="K547" t="str">
            <v>PPE</v>
          </cell>
        </row>
        <row r="548">
          <cell r="A548" t="str">
            <v>TV FAZENDA 19 40H</v>
          </cell>
          <cell r="B548" t="str">
            <v>TV FAZENDA</v>
          </cell>
          <cell r="C548" t="str">
            <v>Tabela de Valores Servidores da Fazenda</v>
          </cell>
          <cell r="D548" t="str">
            <v>40H</v>
          </cell>
          <cell r="E548">
            <v>41640</v>
          </cell>
          <cell r="G548" t="str">
            <v>19</v>
          </cell>
          <cell r="H548" t="str">
            <v>AFA - Cl D</v>
          </cell>
          <cell r="I548" t="str">
            <v>Básico</v>
          </cell>
          <cell r="J548">
            <v>2242</v>
          </cell>
          <cell r="K548" t="str">
            <v>PPE</v>
          </cell>
        </row>
        <row r="549">
          <cell r="A549" t="str">
            <v>TV FAZENDA 20 40H</v>
          </cell>
          <cell r="B549" t="str">
            <v>TV FAZENDA</v>
          </cell>
          <cell r="C549" t="str">
            <v>Tabela de Valores Servidores da Fazenda</v>
          </cell>
          <cell r="D549" t="str">
            <v>40H</v>
          </cell>
          <cell r="E549">
            <v>41640</v>
          </cell>
          <cell r="G549" t="str">
            <v>20</v>
          </cell>
          <cell r="H549" t="str">
            <v>AFA - Cl E</v>
          </cell>
          <cell r="I549" t="str">
            <v>Básico</v>
          </cell>
          <cell r="J549">
            <v>2356</v>
          </cell>
          <cell r="K549" t="str">
            <v>PPE</v>
          </cell>
        </row>
        <row r="550">
          <cell r="A550" t="str">
            <v>TV FAZENDA PPE 01 40H</v>
          </cell>
          <cell r="B550" t="str">
            <v>TV FAZENDA PPE</v>
          </cell>
          <cell r="C550" t="str">
            <v>Tabela de Valores Premio Produtividade e Eficiência</v>
          </cell>
          <cell r="D550" t="str">
            <v>40H</v>
          </cell>
          <cell r="E550">
            <v>41699</v>
          </cell>
          <cell r="G550" t="str">
            <v>01</v>
          </cell>
          <cell r="H550" t="str">
            <v>AFTE</v>
          </cell>
          <cell r="I550" t="str">
            <v>Valor</v>
          </cell>
          <cell r="J550">
            <v>8188.94</v>
          </cell>
          <cell r="K550" t="str">
            <v>Resíduo</v>
          </cell>
        </row>
        <row r="551">
          <cell r="A551" t="str">
            <v>TV FAZENDA PPE 02 40H</v>
          </cell>
          <cell r="B551" t="str">
            <v>TV FAZENDA PPE</v>
          </cell>
          <cell r="C551" t="str">
            <v>Tabela de Valores Premio Produtividade e Eficiência</v>
          </cell>
          <cell r="D551" t="str">
            <v>40H</v>
          </cell>
          <cell r="E551">
            <v>41699</v>
          </cell>
          <cell r="G551" t="str">
            <v>02</v>
          </cell>
          <cell r="H551" t="str">
            <v>TTE</v>
          </cell>
          <cell r="I551" t="str">
            <v>Valor</v>
          </cell>
          <cell r="J551">
            <v>3704.95</v>
          </cell>
          <cell r="K551" t="str">
            <v>Resíduo</v>
          </cell>
        </row>
        <row r="552">
          <cell r="A552" t="str">
            <v>TV FIGTF PESSOAL 01 40H</v>
          </cell>
          <cell r="B552" t="str">
            <v>TV FIGTF PESSOAL</v>
          </cell>
          <cell r="C552" t="str">
            <v>Tabela de Valores FIGTF - Lei 14.082/12</v>
          </cell>
          <cell r="D552" t="str">
            <v>40H</v>
          </cell>
          <cell r="E552">
            <v>41456</v>
          </cell>
          <cell r="G552" t="str">
            <v>01</v>
          </cell>
          <cell r="H552" t="str">
            <v>Aux Serv Gerais</v>
          </cell>
          <cell r="I552" t="str">
            <v>Básico</v>
          </cell>
          <cell r="J552">
            <v>426.3</v>
          </cell>
          <cell r="K552" t="str">
            <v>Parc Aut Especial</v>
          </cell>
          <cell r="L552">
            <v>471.5</v>
          </cell>
        </row>
        <row r="553">
          <cell r="A553" t="str">
            <v>TV FIGTF PESSOAL 02 40H</v>
          </cell>
          <cell r="B553" t="str">
            <v>TV FIGTF PESSOAL</v>
          </cell>
          <cell r="C553" t="str">
            <v>Tabela de Valores FIGTF - Lei 14.082/12</v>
          </cell>
          <cell r="D553" t="str">
            <v>40H</v>
          </cell>
          <cell r="E553">
            <v>41456</v>
          </cell>
          <cell r="G553" t="str">
            <v>02</v>
          </cell>
          <cell r="H553" t="str">
            <v>Aux Administrativo</v>
          </cell>
          <cell r="I553" t="str">
            <v>Básico</v>
          </cell>
          <cell r="J553">
            <v>481.3</v>
          </cell>
          <cell r="K553" t="str">
            <v>Parc Aut Especial</v>
          </cell>
          <cell r="L553">
            <v>442</v>
          </cell>
        </row>
        <row r="554">
          <cell r="A554" t="str">
            <v>TV FIGTF PESSOAL 03 40H</v>
          </cell>
          <cell r="B554" t="str">
            <v>TV FIGTF PESSOAL</v>
          </cell>
          <cell r="C554" t="str">
            <v>Tabela de Valores FIGTF - Lei 14.082/12</v>
          </cell>
          <cell r="D554" t="str">
            <v>40H</v>
          </cell>
          <cell r="E554">
            <v>41456</v>
          </cell>
          <cell r="G554" t="str">
            <v>03</v>
          </cell>
          <cell r="H554" t="str">
            <v>Ag Administrativo A</v>
          </cell>
          <cell r="I554" t="str">
            <v>Básico</v>
          </cell>
          <cell r="J554">
            <v>645.36</v>
          </cell>
          <cell r="K554" t="str">
            <v>Parc Aut Especial</v>
          </cell>
          <cell r="L554">
            <v>353</v>
          </cell>
        </row>
        <row r="555">
          <cell r="A555" t="str">
            <v>TV FIGTF PESSOAL 04 40H</v>
          </cell>
          <cell r="B555" t="str">
            <v>TV FIGTF PESSOAL</v>
          </cell>
          <cell r="C555" t="str">
            <v>Tabela de Valores FIGTF - Lei 14.082/12</v>
          </cell>
          <cell r="D555" t="str">
            <v>40H</v>
          </cell>
          <cell r="E555">
            <v>41456</v>
          </cell>
          <cell r="G555" t="str">
            <v>04</v>
          </cell>
          <cell r="H555" t="str">
            <v>Ag Adm B - Aux Téc A</v>
          </cell>
          <cell r="I555" t="str">
            <v>Básico</v>
          </cell>
          <cell r="J555">
            <v>678.76</v>
          </cell>
          <cell r="K555" t="str">
            <v>Parc Aut Especial</v>
          </cell>
          <cell r="L555">
            <v>327</v>
          </cell>
        </row>
        <row r="556">
          <cell r="A556" t="str">
            <v>TV FIGTF PESSOAL 05 40H</v>
          </cell>
          <cell r="B556" t="str">
            <v>TV FIGTF PESSOAL</v>
          </cell>
          <cell r="C556" t="str">
            <v>Tabela de Valores FIGTF - Lei 14.082/12</v>
          </cell>
          <cell r="D556" t="str">
            <v>40H</v>
          </cell>
          <cell r="E556">
            <v>41456</v>
          </cell>
          <cell r="G556" t="str">
            <v>05</v>
          </cell>
          <cell r="H556" t="str">
            <v>Ag Adm C - Técnico B</v>
          </cell>
          <cell r="I556" t="str">
            <v>Básico</v>
          </cell>
          <cell r="J556">
            <v>833.35</v>
          </cell>
          <cell r="K556" t="str">
            <v>Parc Aut Especial</v>
          </cell>
          <cell r="L556">
            <v>280</v>
          </cell>
        </row>
        <row r="557">
          <cell r="A557" t="str">
            <v>TV FIGTF SUPERIOR 01 40H</v>
          </cell>
          <cell r="B557" t="str">
            <v>TV FIGTF SUPERIOR</v>
          </cell>
          <cell r="C557" t="str">
            <v>Tabela de Valores FIGTF - Nível Superior</v>
          </cell>
          <cell r="D557" t="str">
            <v>40H</v>
          </cell>
          <cell r="E557">
            <v>41456</v>
          </cell>
          <cell r="G557" t="str">
            <v>01</v>
          </cell>
          <cell r="H557" t="str">
            <v>Assessor Sup A</v>
          </cell>
          <cell r="I557" t="str">
            <v>Básico</v>
          </cell>
          <cell r="J557">
            <v>2867</v>
          </cell>
          <cell r="K557" t="str">
            <v>Parc Autonoma</v>
          </cell>
          <cell r="L557">
            <v>0</v>
          </cell>
        </row>
        <row r="558">
          <cell r="A558" t="str">
            <v>TV FIGTF SUPERIOR 02 40H</v>
          </cell>
          <cell r="B558" t="str">
            <v>TV FIGTF SUPERIOR</v>
          </cell>
          <cell r="C558" t="str">
            <v>Tabela de Valores FIGTF - Nível Superior</v>
          </cell>
          <cell r="D558" t="str">
            <v>40H</v>
          </cell>
          <cell r="E558">
            <v>41456</v>
          </cell>
          <cell r="G558" t="str">
            <v>02</v>
          </cell>
          <cell r="H558" t="str">
            <v>Ass Sup B-Cons A</v>
          </cell>
          <cell r="I558" t="str">
            <v>Básico</v>
          </cell>
          <cell r="J558">
            <v>4002.7</v>
          </cell>
          <cell r="K558" t="str">
            <v>Parc Autonoma</v>
          </cell>
          <cell r="L558">
            <v>0</v>
          </cell>
        </row>
        <row r="559">
          <cell r="A559" t="str">
            <v>TV FIGTF SUPERIOR 03 40H</v>
          </cell>
          <cell r="B559" t="str">
            <v>TV FIGTF SUPERIOR</v>
          </cell>
          <cell r="C559" t="str">
            <v>Tabela de Valores FIGTF - Nível Superior</v>
          </cell>
          <cell r="D559" t="str">
            <v>40H</v>
          </cell>
          <cell r="E559">
            <v>41456</v>
          </cell>
          <cell r="G559" t="str">
            <v>03</v>
          </cell>
          <cell r="H559" t="str">
            <v>Ass Esp - Cons B</v>
          </cell>
          <cell r="I559" t="str">
            <v>Básico</v>
          </cell>
          <cell r="J559">
            <v>5675.95</v>
          </cell>
          <cell r="K559" t="str">
            <v>Parc Autonoma</v>
          </cell>
          <cell r="L559">
            <v>0</v>
          </cell>
        </row>
        <row r="560">
          <cell r="A560" t="str">
            <v>TV FOSPA 15H 01 15H</v>
          </cell>
          <cell r="B560" t="str">
            <v>TV FOSPA 15H</v>
          </cell>
          <cell r="C560" t="str">
            <v>Tabela de Valores Prof. de Orquestra da Orq. de Câmara</v>
          </cell>
          <cell r="D560" t="str">
            <v>15H</v>
          </cell>
          <cell r="E560">
            <v>41275</v>
          </cell>
          <cell r="G560" t="str">
            <v>01</v>
          </cell>
          <cell r="H560" t="str">
            <v>Nivel 4</v>
          </cell>
          <cell r="I560" t="str">
            <v>Básico</v>
          </cell>
          <cell r="J560">
            <v>1713.78</v>
          </cell>
          <cell r="K560" t="str">
            <v>Parc Autonoma</v>
          </cell>
          <cell r="L560">
            <v>0</v>
          </cell>
        </row>
        <row r="561">
          <cell r="A561" t="str">
            <v>TV FOSPA 15H 02 15H</v>
          </cell>
          <cell r="B561" t="str">
            <v>TV FOSPA 15H</v>
          </cell>
          <cell r="C561" t="str">
            <v>Tabela de Valores Prof. de Orquestra da Orq. de Câmara</v>
          </cell>
          <cell r="D561" t="str">
            <v>15H</v>
          </cell>
          <cell r="E561">
            <v>41275</v>
          </cell>
          <cell r="G561" t="str">
            <v>02</v>
          </cell>
          <cell r="H561" t="str">
            <v>Nível 3</v>
          </cell>
          <cell r="I561" t="str">
            <v>Básico</v>
          </cell>
          <cell r="J561">
            <v>1808.7</v>
          </cell>
          <cell r="K561" t="str">
            <v>Parc Autonoma</v>
          </cell>
          <cell r="L561">
            <v>0</v>
          </cell>
        </row>
        <row r="562">
          <cell r="A562" t="str">
            <v>TV FOSPA 15H 03 15H</v>
          </cell>
          <cell r="B562" t="str">
            <v>TV FOSPA 15H</v>
          </cell>
          <cell r="C562" t="str">
            <v>Tabela de Valores Prof. de Orquestra da Orq. de Câmara</v>
          </cell>
          <cell r="D562" t="str">
            <v>15H</v>
          </cell>
          <cell r="E562">
            <v>41275</v>
          </cell>
          <cell r="G562" t="str">
            <v>03</v>
          </cell>
          <cell r="H562" t="str">
            <v>Nível 2</v>
          </cell>
          <cell r="I562" t="str">
            <v>Básico</v>
          </cell>
          <cell r="J562">
            <v>1642.18</v>
          </cell>
          <cell r="K562" t="str">
            <v>Parc Autonoma</v>
          </cell>
          <cell r="L562">
            <v>0</v>
          </cell>
        </row>
        <row r="563">
          <cell r="A563" t="str">
            <v>TV FOSPA 30H 01 30H</v>
          </cell>
          <cell r="B563" t="str">
            <v>TV FOSPA 30H</v>
          </cell>
          <cell r="C563" t="str">
            <v>Tabela de Valores Prof. de Orquestra e QG da Esc.Música</v>
          </cell>
          <cell r="D563" t="str">
            <v>30H</v>
          </cell>
          <cell r="E563">
            <v>41275</v>
          </cell>
          <cell r="G563" t="str">
            <v>01</v>
          </cell>
          <cell r="H563" t="str">
            <v>Cl Especial</v>
          </cell>
          <cell r="I563" t="str">
            <v>Básico</v>
          </cell>
          <cell r="J563">
            <v>7357.45</v>
          </cell>
          <cell r="K563" t="str">
            <v>Parc Autonoma</v>
          </cell>
        </row>
        <row r="564">
          <cell r="A564" t="str">
            <v>TV FOSPA 30H 02 30H</v>
          </cell>
          <cell r="B564" t="str">
            <v>TV FOSPA 30H</v>
          </cell>
          <cell r="C564" t="str">
            <v>Tabela de Valores Prof. de Orquestra e QG da Esc.Música</v>
          </cell>
          <cell r="D564" t="str">
            <v>30H</v>
          </cell>
          <cell r="E564">
            <v>41275</v>
          </cell>
          <cell r="G564" t="str">
            <v>02</v>
          </cell>
          <cell r="H564" t="str">
            <v>Cl Única</v>
          </cell>
          <cell r="I564" t="str">
            <v>Básico</v>
          </cell>
          <cell r="J564">
            <v>3201.26</v>
          </cell>
          <cell r="K564" t="str">
            <v>Parc Autonoma</v>
          </cell>
          <cell r="L564">
            <v>0</v>
          </cell>
        </row>
        <row r="565">
          <cell r="A565" t="str">
            <v>TV FOSPA 30H 03 30H</v>
          </cell>
          <cell r="B565" t="str">
            <v>TV FOSPA 30H</v>
          </cell>
          <cell r="C565" t="str">
            <v>Tabela de Valores Prof. de Orquestra e QG da Esc.Música</v>
          </cell>
          <cell r="D565" t="str">
            <v>30H</v>
          </cell>
          <cell r="E565">
            <v>41275</v>
          </cell>
          <cell r="G565" t="str">
            <v>03</v>
          </cell>
          <cell r="H565" t="str">
            <v>Cl M</v>
          </cell>
          <cell r="I565" t="str">
            <v>Básico</v>
          </cell>
          <cell r="J565">
            <v>2816.24</v>
          </cell>
          <cell r="K565" t="str">
            <v>Parc Autonoma</v>
          </cell>
          <cell r="L565">
            <v>0</v>
          </cell>
        </row>
        <row r="566">
          <cell r="A566" t="str">
            <v>TV FOSPA 30H 04 30H</v>
          </cell>
          <cell r="B566" t="str">
            <v>TV FOSPA 30H</v>
          </cell>
          <cell r="C566" t="str">
            <v>Tabela de Valores Prof. de Orquestra e QG da Esc.Música</v>
          </cell>
          <cell r="D566" t="str">
            <v>30H</v>
          </cell>
          <cell r="E566">
            <v>41275</v>
          </cell>
          <cell r="G566" t="str">
            <v>04</v>
          </cell>
          <cell r="H566" t="str">
            <v>Cl N</v>
          </cell>
          <cell r="I566" t="str">
            <v>Básico</v>
          </cell>
          <cell r="J566">
            <v>2400</v>
          </cell>
          <cell r="K566" t="str">
            <v>Parc Autonoma</v>
          </cell>
          <cell r="L566">
            <v>0</v>
          </cell>
        </row>
        <row r="567">
          <cell r="A567" t="str">
            <v>TV FOSPA 30H 05 30H</v>
          </cell>
          <cell r="B567" t="str">
            <v>TV FOSPA 30H</v>
          </cell>
          <cell r="C567" t="str">
            <v>Tabela de Valores Prof. de Orquestra e QG da Esc.Música</v>
          </cell>
          <cell r="D567" t="str">
            <v>30H</v>
          </cell>
          <cell r="E567">
            <v>41275</v>
          </cell>
          <cell r="G567" t="str">
            <v>05</v>
          </cell>
          <cell r="H567" t="str">
            <v>Prof Orquestra</v>
          </cell>
          <cell r="I567" t="str">
            <v>Básico</v>
          </cell>
          <cell r="J567">
            <v>4801.89</v>
          </cell>
          <cell r="K567" t="str">
            <v>Parc Autonoma</v>
          </cell>
        </row>
        <row r="568">
          <cell r="A568" t="str">
            <v>TV FOSPA ORQUESTRA 01 30H</v>
          </cell>
          <cell r="B568" t="str">
            <v>TV FOSPA ORQUESTRA</v>
          </cell>
          <cell r="C568" t="str">
            <v>Tabela de Valores Músico de Orquestra Sinfônica</v>
          </cell>
          <cell r="D568" t="str">
            <v>30H</v>
          </cell>
          <cell r="E568">
            <v>41275</v>
          </cell>
          <cell r="G568" t="str">
            <v>01</v>
          </cell>
          <cell r="H568" t="str">
            <v>Fila</v>
          </cell>
          <cell r="I568" t="str">
            <v>Básico</v>
          </cell>
          <cell r="J568">
            <v>4801.89</v>
          </cell>
        </row>
        <row r="569">
          <cell r="A569" t="str">
            <v>TV FOSPA ORQUESTRA 02 30H</v>
          </cell>
          <cell r="B569" t="str">
            <v>TV FOSPA ORQUESTRA</v>
          </cell>
          <cell r="C569" t="str">
            <v>Tabela de Valores Músico de Orquestra Sinfônica</v>
          </cell>
          <cell r="D569" t="str">
            <v>30H</v>
          </cell>
          <cell r="E569">
            <v>41275</v>
          </cell>
          <cell r="G569" t="str">
            <v>02</v>
          </cell>
          <cell r="H569" t="str">
            <v>Assistente</v>
          </cell>
          <cell r="I569" t="str">
            <v>Básico</v>
          </cell>
          <cell r="J569">
            <v>5041.98</v>
          </cell>
        </row>
        <row r="570">
          <cell r="A570" t="str">
            <v>TV FOSPA ORQUESTRA 03 30H</v>
          </cell>
          <cell r="B570" t="str">
            <v>TV FOSPA ORQUESTRA</v>
          </cell>
          <cell r="C570" t="str">
            <v>Tabela de Valores Músico de Orquestra Sinfônica</v>
          </cell>
          <cell r="D570" t="str">
            <v>30H</v>
          </cell>
          <cell r="E570">
            <v>41275</v>
          </cell>
          <cell r="G570" t="str">
            <v>03</v>
          </cell>
          <cell r="H570" t="str">
            <v>Solista</v>
          </cell>
          <cell r="I570" t="str">
            <v>Básico</v>
          </cell>
          <cell r="J570">
            <v>5294.08</v>
          </cell>
        </row>
        <row r="571">
          <cell r="A571" t="str">
            <v>TV FOSPA ORQUESTRA 04 30H</v>
          </cell>
          <cell r="B571" t="str">
            <v>TV FOSPA ORQUESTRA</v>
          </cell>
          <cell r="C571" t="str">
            <v>Tabela de Valores Músico de Orquestra Sinfônica</v>
          </cell>
          <cell r="D571" t="str">
            <v>30H</v>
          </cell>
          <cell r="E571">
            <v>41275</v>
          </cell>
          <cell r="G571" t="str">
            <v>04</v>
          </cell>
          <cell r="H571" t="str">
            <v>Spalla</v>
          </cell>
          <cell r="I571" t="str">
            <v>Básico</v>
          </cell>
          <cell r="J571">
            <v>9564.67</v>
          </cell>
        </row>
        <row r="572">
          <cell r="A572" t="str">
            <v>TV FOSPA PA ESP 01 30H</v>
          </cell>
          <cell r="B572" t="str">
            <v>TV FOSPA PA ESP</v>
          </cell>
          <cell r="C572" t="str">
            <v>Tabela de Valores de Parcela Autonoma Especial</v>
          </cell>
          <cell r="D572" t="str">
            <v>30H</v>
          </cell>
          <cell r="E572">
            <v>39234</v>
          </cell>
          <cell r="G572" t="str">
            <v>01</v>
          </cell>
          <cell r="H572" t="str">
            <v>Nivel A</v>
          </cell>
          <cell r="I572" t="str">
            <v>Parc Autonoma Esp</v>
          </cell>
          <cell r="J572">
            <v>121.5</v>
          </cell>
        </row>
        <row r="573">
          <cell r="A573" t="str">
            <v>TV FOSPA PA ESP 02 30H</v>
          </cell>
          <cell r="B573" t="str">
            <v>TV FOSPA PA ESP</v>
          </cell>
          <cell r="C573" t="str">
            <v>Tabela de Valores de Parcela Autonoma Especial</v>
          </cell>
          <cell r="D573" t="str">
            <v>30H</v>
          </cell>
          <cell r="E573">
            <v>39234</v>
          </cell>
          <cell r="G573" t="str">
            <v>02</v>
          </cell>
          <cell r="H573" t="str">
            <v>Nivel A1</v>
          </cell>
          <cell r="I573" t="str">
            <v>Parc Autonoma Esp</v>
          </cell>
          <cell r="J573">
            <v>121</v>
          </cell>
        </row>
        <row r="574">
          <cell r="A574" t="str">
            <v>TV FOSPA PA ESP 03 30H</v>
          </cell>
          <cell r="B574" t="str">
            <v>TV FOSPA PA ESP</v>
          </cell>
          <cell r="C574" t="str">
            <v>Tabela de Valores de Parcela Autonoma Especial</v>
          </cell>
          <cell r="D574" t="str">
            <v>30H</v>
          </cell>
          <cell r="E574">
            <v>39234</v>
          </cell>
          <cell r="G574" t="str">
            <v>03</v>
          </cell>
          <cell r="H574" t="str">
            <v>Nivel A2</v>
          </cell>
          <cell r="I574" t="str">
            <v>Parc Autonoma Esp</v>
          </cell>
          <cell r="J574">
            <v>120.5</v>
          </cell>
        </row>
        <row r="575">
          <cell r="A575" t="str">
            <v>TV FOSPA PA ESP 04 30H</v>
          </cell>
          <cell r="B575" t="str">
            <v>TV FOSPA PA ESP</v>
          </cell>
          <cell r="C575" t="str">
            <v>Tabela de Valores de Parcela Autonoma Especial</v>
          </cell>
          <cell r="D575" t="str">
            <v>30H</v>
          </cell>
          <cell r="E575">
            <v>39234</v>
          </cell>
          <cell r="G575" t="str">
            <v>04</v>
          </cell>
          <cell r="H575" t="str">
            <v>Nivel B</v>
          </cell>
          <cell r="I575" t="str">
            <v>Parc Autonoma Esp</v>
          </cell>
          <cell r="J575">
            <v>120</v>
          </cell>
        </row>
        <row r="576">
          <cell r="A576" t="str">
            <v>TV FOSPA PA ESP 05 30H</v>
          </cell>
          <cell r="B576" t="str">
            <v>TV FOSPA PA ESP</v>
          </cell>
          <cell r="C576" t="str">
            <v>Tabela de Valores de Parcela Autonoma Especial</v>
          </cell>
          <cell r="D576" t="str">
            <v>30H</v>
          </cell>
          <cell r="E576">
            <v>39234</v>
          </cell>
          <cell r="G576" t="str">
            <v>05</v>
          </cell>
          <cell r="H576" t="str">
            <v>Nivel B1</v>
          </cell>
          <cell r="I576" t="str">
            <v>Parc Autonoma Esp</v>
          </cell>
          <cell r="J576">
            <v>119.4</v>
          </cell>
        </row>
        <row r="577">
          <cell r="A577" t="str">
            <v>TV FOSPA PA ESP 06 30H</v>
          </cell>
          <cell r="B577" t="str">
            <v>TV FOSPA PA ESP</v>
          </cell>
          <cell r="C577" t="str">
            <v>Tabela de Valores de Parcela Autonoma Especial</v>
          </cell>
          <cell r="D577" t="str">
            <v>30H</v>
          </cell>
          <cell r="E577">
            <v>39234</v>
          </cell>
          <cell r="G577" t="str">
            <v>06</v>
          </cell>
          <cell r="H577" t="str">
            <v>80% Nivel B1</v>
          </cell>
          <cell r="I577" t="str">
            <v>Parc Autonoma Esp</v>
          </cell>
          <cell r="J577">
            <v>95.52</v>
          </cell>
        </row>
        <row r="578">
          <cell r="A578" t="str">
            <v>TV FOSPA REGENTE 01 30H</v>
          </cell>
          <cell r="B578" t="str">
            <v>TV FOSPA REGENTE</v>
          </cell>
          <cell r="C578" t="str">
            <v>Tabela de Valores Regente</v>
          </cell>
          <cell r="D578" t="str">
            <v>30H</v>
          </cell>
          <cell r="E578">
            <v>41275</v>
          </cell>
          <cell r="G578" t="str">
            <v>01</v>
          </cell>
          <cell r="H578" t="str">
            <v>Cl R</v>
          </cell>
          <cell r="I578" t="str">
            <v>Básico</v>
          </cell>
          <cell r="J578">
            <v>8597.93</v>
          </cell>
          <cell r="K578" t="str">
            <v>Parc Autonoma</v>
          </cell>
          <cell r="L578">
            <v>0</v>
          </cell>
        </row>
        <row r="579">
          <cell r="A579" t="str">
            <v>TV FOSPA REGENTE 02 30H</v>
          </cell>
          <cell r="B579" t="str">
            <v>TV FOSPA REGENTE</v>
          </cell>
          <cell r="C579" t="str">
            <v>Tabela de Valores Regente</v>
          </cell>
          <cell r="D579" t="str">
            <v>30H</v>
          </cell>
          <cell r="E579">
            <v>41275</v>
          </cell>
          <cell r="G579" t="str">
            <v>02</v>
          </cell>
          <cell r="H579" t="str">
            <v>Cl T</v>
          </cell>
          <cell r="I579" t="str">
            <v>Básico</v>
          </cell>
          <cell r="J579">
            <v>8597.93</v>
          </cell>
          <cell r="K579" t="str">
            <v>Parc Autonoma</v>
          </cell>
          <cell r="L579">
            <v>0</v>
          </cell>
        </row>
        <row r="580">
          <cell r="A580" t="str">
            <v>TV GD MAG ANEXO III 01 20H</v>
          </cell>
          <cell r="B580" t="str">
            <v>TV GD MAG ANEXO III</v>
          </cell>
          <cell r="C580" t="str">
            <v>Tabela de Valores Grat.Direçao - Magistério - Anexo III</v>
          </cell>
          <cell r="D580" t="str">
            <v>20H</v>
          </cell>
          <cell r="E580">
            <v>40238</v>
          </cell>
          <cell r="G580" t="str">
            <v>01</v>
          </cell>
          <cell r="H580" t="str">
            <v>Grat Equiv-01</v>
          </cell>
          <cell r="I580" t="str">
            <v>Básico</v>
          </cell>
          <cell r="J580">
            <v>134.67</v>
          </cell>
        </row>
        <row r="581">
          <cell r="A581" t="str">
            <v>TV GD MAG ANEXO III 02 20H</v>
          </cell>
          <cell r="B581" t="str">
            <v>TV GD MAG ANEXO III</v>
          </cell>
          <cell r="C581" t="str">
            <v>Tabela de Valores Grat.Direçao - Magistério - Anexo III</v>
          </cell>
          <cell r="D581" t="str">
            <v>20H</v>
          </cell>
          <cell r="E581">
            <v>40238</v>
          </cell>
          <cell r="G581" t="str">
            <v>02</v>
          </cell>
          <cell r="H581" t="str">
            <v>Grat Equiv-02</v>
          </cell>
          <cell r="I581" t="str">
            <v>Básico</v>
          </cell>
          <cell r="J581">
            <v>159.6</v>
          </cell>
        </row>
        <row r="582">
          <cell r="A582" t="str">
            <v>TV GD MAG ANEXO III 03 20H</v>
          </cell>
          <cell r="B582" t="str">
            <v>TV GD MAG ANEXO III</v>
          </cell>
          <cell r="C582" t="str">
            <v>Tabela de Valores Grat.Direçao - Magistério - Anexo III</v>
          </cell>
          <cell r="D582" t="str">
            <v>20H</v>
          </cell>
          <cell r="E582">
            <v>40238</v>
          </cell>
          <cell r="G582" t="str">
            <v>03</v>
          </cell>
          <cell r="H582" t="str">
            <v>Grat Equiv-03</v>
          </cell>
          <cell r="I582" t="str">
            <v>Básico</v>
          </cell>
          <cell r="J582">
            <v>189.53</v>
          </cell>
        </row>
        <row r="583">
          <cell r="A583" t="str">
            <v>TV GD MAG ANEXO III 04 20H</v>
          </cell>
          <cell r="B583" t="str">
            <v>TV GD MAG ANEXO III</v>
          </cell>
          <cell r="C583" t="str">
            <v>Tabela de Valores Grat.Direçao - Magistério - Anexo III</v>
          </cell>
          <cell r="D583" t="str">
            <v>20H</v>
          </cell>
          <cell r="E583">
            <v>40238</v>
          </cell>
          <cell r="G583" t="str">
            <v>04</v>
          </cell>
          <cell r="H583" t="str">
            <v>Grat Equiv-04</v>
          </cell>
          <cell r="I583" t="str">
            <v>Básico</v>
          </cell>
          <cell r="J583">
            <v>219.46</v>
          </cell>
        </row>
        <row r="584">
          <cell r="A584" t="str">
            <v>TV GD MAG ANEXO III 05 20H</v>
          </cell>
          <cell r="B584" t="str">
            <v>TV GD MAG ANEXO III</v>
          </cell>
          <cell r="C584" t="str">
            <v>Tabela de Valores Grat.Direçao - Magistério - Anexo III</v>
          </cell>
          <cell r="D584" t="str">
            <v>20H</v>
          </cell>
          <cell r="E584">
            <v>40238</v>
          </cell>
          <cell r="G584" t="str">
            <v>05</v>
          </cell>
          <cell r="H584" t="str">
            <v>Grat Equiv-05</v>
          </cell>
          <cell r="I584" t="str">
            <v>Básico</v>
          </cell>
          <cell r="J584">
            <v>249.39</v>
          </cell>
        </row>
        <row r="585">
          <cell r="A585" t="str">
            <v>TV GD MAG ANEXO III 06 20H</v>
          </cell>
          <cell r="B585" t="str">
            <v>TV GD MAG ANEXO III</v>
          </cell>
          <cell r="C585" t="str">
            <v>Tabela de Valores Grat.Direçao - Magistério - Anexo III</v>
          </cell>
          <cell r="D585" t="str">
            <v>20H</v>
          </cell>
          <cell r="E585">
            <v>40238</v>
          </cell>
          <cell r="G585" t="str">
            <v>06</v>
          </cell>
          <cell r="H585" t="str">
            <v>Grat Equiv-06</v>
          </cell>
          <cell r="I585" t="str">
            <v>Básico</v>
          </cell>
          <cell r="J585">
            <v>274.32</v>
          </cell>
        </row>
        <row r="586">
          <cell r="A586" t="str">
            <v>TV GD MAG ANEXO III 07 20H</v>
          </cell>
          <cell r="B586" t="str">
            <v>TV GD MAG ANEXO III</v>
          </cell>
          <cell r="C586" t="str">
            <v>Tabela de Valores Grat.Direçao - Magistério - Anexo III</v>
          </cell>
          <cell r="D586" t="str">
            <v>20H</v>
          </cell>
          <cell r="E586">
            <v>40238</v>
          </cell>
          <cell r="G586" t="str">
            <v>07</v>
          </cell>
          <cell r="H586" t="str">
            <v>Grat Equiv-07</v>
          </cell>
          <cell r="I586" t="str">
            <v>Básico</v>
          </cell>
          <cell r="J586">
            <v>299.26</v>
          </cell>
        </row>
        <row r="587">
          <cell r="A587" t="str">
            <v>TV GD MAG ANEXO III 08 20H</v>
          </cell>
          <cell r="B587" t="str">
            <v>TV GD MAG ANEXO III</v>
          </cell>
          <cell r="C587" t="str">
            <v>Tabela de Valores Grat.Direçao - Magistério - Anexo III</v>
          </cell>
          <cell r="D587" t="str">
            <v>20H</v>
          </cell>
          <cell r="E587">
            <v>40238</v>
          </cell>
          <cell r="G587" t="str">
            <v>08</v>
          </cell>
          <cell r="H587" t="str">
            <v>Grat Equiv-08</v>
          </cell>
          <cell r="I587" t="str">
            <v>Básico</v>
          </cell>
          <cell r="J587">
            <v>334.18</v>
          </cell>
        </row>
        <row r="588">
          <cell r="A588" t="str">
            <v>TV GD MAG ANEXO III 01 30H</v>
          </cell>
          <cell r="B588" t="str">
            <v>TV GD MAG ANEXO III</v>
          </cell>
          <cell r="C588" t="str">
            <v>Tabela de Valores Grat.Direçao - Magistério - Anexo III</v>
          </cell>
          <cell r="D588" t="str">
            <v>30H</v>
          </cell>
          <cell r="E588">
            <v>40238</v>
          </cell>
          <cell r="G588" t="str">
            <v>01</v>
          </cell>
          <cell r="H588" t="str">
            <v>Grat Equiv-01</v>
          </cell>
          <cell r="I588" t="str">
            <v>Básico</v>
          </cell>
          <cell r="J588">
            <v>199.51</v>
          </cell>
        </row>
        <row r="589">
          <cell r="A589" t="str">
            <v>TV GD MAG ANEXO III 02 30H</v>
          </cell>
          <cell r="B589" t="str">
            <v>TV GD MAG ANEXO III</v>
          </cell>
          <cell r="C589" t="str">
            <v>Tabela de Valores Grat.Direçao - Magistério - Anexo III</v>
          </cell>
          <cell r="D589" t="str">
            <v>30H</v>
          </cell>
          <cell r="E589">
            <v>40238</v>
          </cell>
          <cell r="G589" t="str">
            <v>02</v>
          </cell>
          <cell r="H589" t="str">
            <v>Grat Equiv-02</v>
          </cell>
          <cell r="I589" t="str">
            <v>Básico</v>
          </cell>
          <cell r="J589">
            <v>239.41</v>
          </cell>
        </row>
        <row r="590">
          <cell r="A590" t="str">
            <v>TV GD MAG ANEXO III 03 30H</v>
          </cell>
          <cell r="B590" t="str">
            <v>TV GD MAG ANEXO III</v>
          </cell>
          <cell r="C590" t="str">
            <v>Tabela de Valores Grat.Direçao - Magistério - Anexo III</v>
          </cell>
          <cell r="D590" t="str">
            <v>30H</v>
          </cell>
          <cell r="E590">
            <v>40238</v>
          </cell>
          <cell r="G590" t="str">
            <v>03</v>
          </cell>
          <cell r="H590" t="str">
            <v>Grat Equiv-03</v>
          </cell>
          <cell r="I590" t="str">
            <v>Básico</v>
          </cell>
          <cell r="J590">
            <v>284.3</v>
          </cell>
        </row>
        <row r="591">
          <cell r="A591" t="str">
            <v>TV GD MAG ANEXO III 04 30H</v>
          </cell>
          <cell r="B591" t="str">
            <v>TV GD MAG ANEXO III</v>
          </cell>
          <cell r="C591" t="str">
            <v>Tabela de Valores Grat.Direçao - Magistério - Anexo III</v>
          </cell>
          <cell r="D591" t="str">
            <v>30H</v>
          </cell>
          <cell r="E591">
            <v>40238</v>
          </cell>
          <cell r="G591" t="str">
            <v>04</v>
          </cell>
          <cell r="H591" t="str">
            <v>Grat Equiv-04</v>
          </cell>
          <cell r="I591" t="str">
            <v>Básico</v>
          </cell>
          <cell r="J591">
            <v>329.19</v>
          </cell>
        </row>
        <row r="592">
          <cell r="A592" t="str">
            <v>TV GD MAG ANEXO III 05 30H</v>
          </cell>
          <cell r="B592" t="str">
            <v>TV GD MAG ANEXO III</v>
          </cell>
          <cell r="C592" t="str">
            <v>Tabela de Valores Grat.Direçao - Magistério - Anexo III</v>
          </cell>
          <cell r="D592" t="str">
            <v>30H</v>
          </cell>
          <cell r="E592">
            <v>40238</v>
          </cell>
          <cell r="G592" t="str">
            <v>05</v>
          </cell>
          <cell r="H592" t="str">
            <v>Grat Equiv-05</v>
          </cell>
          <cell r="I592" t="str">
            <v>Básico</v>
          </cell>
          <cell r="J592">
            <v>374.08</v>
          </cell>
        </row>
        <row r="593">
          <cell r="A593" t="str">
            <v>TV GD MAG ANEXO III 06 30H</v>
          </cell>
          <cell r="B593" t="str">
            <v>TV GD MAG ANEXO III</v>
          </cell>
          <cell r="C593" t="str">
            <v>Tabela de Valores Grat.Direçao - Magistério - Anexo III</v>
          </cell>
          <cell r="D593" t="str">
            <v>30H</v>
          </cell>
          <cell r="E593">
            <v>40238</v>
          </cell>
          <cell r="G593" t="str">
            <v>06</v>
          </cell>
          <cell r="H593" t="str">
            <v>Grat Equiv-06</v>
          </cell>
          <cell r="I593" t="str">
            <v>Básico</v>
          </cell>
          <cell r="J593">
            <v>408.99</v>
          </cell>
        </row>
        <row r="594">
          <cell r="A594" t="str">
            <v>TV GD MAG ANEXO III 07 30H</v>
          </cell>
          <cell r="B594" t="str">
            <v>TV GD MAG ANEXO III</v>
          </cell>
          <cell r="C594" t="str">
            <v>Tabela de Valores Grat.Direçao - Magistério - Anexo III</v>
          </cell>
          <cell r="D594" t="str">
            <v>30H</v>
          </cell>
          <cell r="E594">
            <v>40238</v>
          </cell>
          <cell r="G594" t="str">
            <v>07</v>
          </cell>
          <cell r="H594" t="str">
            <v>Grat Equiv-07</v>
          </cell>
          <cell r="I594" t="str">
            <v>Básico</v>
          </cell>
          <cell r="J594">
            <v>448.9</v>
          </cell>
        </row>
        <row r="595">
          <cell r="A595" t="str">
            <v>TV GD MAG ANEXO III 08 30H</v>
          </cell>
          <cell r="B595" t="str">
            <v>TV GD MAG ANEXO III</v>
          </cell>
          <cell r="C595" t="str">
            <v>Tabela de Valores Grat.Direçao - Magistério - Anexo III</v>
          </cell>
          <cell r="D595" t="str">
            <v>30H</v>
          </cell>
          <cell r="E595">
            <v>40238</v>
          </cell>
          <cell r="G595" t="str">
            <v>08</v>
          </cell>
          <cell r="H595" t="str">
            <v>Grat Equiv-08</v>
          </cell>
          <cell r="I595" t="str">
            <v>Básico</v>
          </cell>
          <cell r="J595">
            <v>498.78</v>
          </cell>
        </row>
        <row r="596">
          <cell r="A596" t="str">
            <v>TV GD MAG ANEXO III 01 40H</v>
          </cell>
          <cell r="B596" t="str">
            <v>TV GD MAG ANEXO III</v>
          </cell>
          <cell r="C596" t="str">
            <v>Tabela de Valores Grat.Direçao - Magistério - Anexo III</v>
          </cell>
          <cell r="D596" t="str">
            <v>40H</v>
          </cell>
          <cell r="E596">
            <v>40238</v>
          </cell>
          <cell r="G596" t="str">
            <v>01</v>
          </cell>
          <cell r="H596" t="str">
            <v>Grat Equiv-01</v>
          </cell>
          <cell r="I596" t="str">
            <v>Básico</v>
          </cell>
          <cell r="J596">
            <v>269.34</v>
          </cell>
        </row>
        <row r="597">
          <cell r="A597" t="str">
            <v>TV GD MAG ANEXO III 02 40H</v>
          </cell>
          <cell r="B597" t="str">
            <v>TV GD MAG ANEXO III</v>
          </cell>
          <cell r="C597" t="str">
            <v>Tabela de Valores Grat.Direçao - Magistério - Anexo III</v>
          </cell>
          <cell r="D597" t="str">
            <v>40H</v>
          </cell>
          <cell r="E597">
            <v>40238</v>
          </cell>
          <cell r="G597" t="str">
            <v>02</v>
          </cell>
          <cell r="H597" t="str">
            <v>Grat Equiv-02</v>
          </cell>
          <cell r="I597" t="str">
            <v>Básico</v>
          </cell>
          <cell r="J597">
            <v>324.2</v>
          </cell>
        </row>
        <row r="598">
          <cell r="A598" t="str">
            <v>TV GD MAG ANEXO III 03 40H</v>
          </cell>
          <cell r="B598" t="str">
            <v>TV GD MAG ANEXO III</v>
          </cell>
          <cell r="C598" t="str">
            <v>Tabela de Valores Grat.Direçao - Magistério - Anexo III</v>
          </cell>
          <cell r="D598" t="str">
            <v>40H</v>
          </cell>
          <cell r="E598">
            <v>40238</v>
          </cell>
          <cell r="G598" t="str">
            <v>03</v>
          </cell>
          <cell r="H598" t="str">
            <v>Grat Equiv-03</v>
          </cell>
          <cell r="I598" t="str">
            <v>Básico</v>
          </cell>
          <cell r="J598">
            <v>379.07</v>
          </cell>
        </row>
        <row r="599">
          <cell r="A599" t="str">
            <v>TV GD MAG ANEXO III 04 40H</v>
          </cell>
          <cell r="B599" t="str">
            <v>TV GD MAG ANEXO III</v>
          </cell>
          <cell r="C599" t="str">
            <v>Tabela de Valores Grat.Direçao - Magistério - Anexo III</v>
          </cell>
          <cell r="D599" t="str">
            <v>40H</v>
          </cell>
          <cell r="E599">
            <v>40238</v>
          </cell>
          <cell r="G599" t="str">
            <v>04</v>
          </cell>
          <cell r="H599" t="str">
            <v>Grat Equiv-04</v>
          </cell>
          <cell r="I599" t="str">
            <v>Básico</v>
          </cell>
          <cell r="J599">
            <v>438.92</v>
          </cell>
        </row>
        <row r="600">
          <cell r="A600" t="str">
            <v>TV GD MAG ANEXO III 05 40H</v>
          </cell>
          <cell r="B600" t="str">
            <v>TV GD MAG ANEXO III</v>
          </cell>
          <cell r="C600" t="str">
            <v>Tabela de Valores Grat.Direçao - Magistério - Anexo III</v>
          </cell>
          <cell r="D600" t="str">
            <v>40H</v>
          </cell>
          <cell r="E600">
            <v>40238</v>
          </cell>
          <cell r="G600" t="str">
            <v>05</v>
          </cell>
          <cell r="H600" t="str">
            <v>Grat Equiv-05</v>
          </cell>
          <cell r="I600" t="str">
            <v>Básico</v>
          </cell>
          <cell r="J600">
            <v>493.79</v>
          </cell>
        </row>
        <row r="601">
          <cell r="A601" t="str">
            <v>TV GD MAG ANEXO III 06 40H</v>
          </cell>
          <cell r="B601" t="str">
            <v>TV GD MAG ANEXO III</v>
          </cell>
          <cell r="C601" t="str">
            <v>Tabela de Valores Grat.Direçao - Magistério - Anexo III</v>
          </cell>
          <cell r="D601" t="str">
            <v>40H</v>
          </cell>
          <cell r="E601">
            <v>40238</v>
          </cell>
          <cell r="G601" t="str">
            <v>06</v>
          </cell>
          <cell r="H601" t="str">
            <v>Grat Equiv-06</v>
          </cell>
          <cell r="I601" t="str">
            <v>Básico</v>
          </cell>
          <cell r="J601">
            <v>548.65</v>
          </cell>
        </row>
        <row r="602">
          <cell r="A602" t="str">
            <v>TV GD MAG ANEXO III 07 40H</v>
          </cell>
          <cell r="B602" t="str">
            <v>TV GD MAG ANEXO III</v>
          </cell>
          <cell r="C602" t="str">
            <v>Tabela de Valores Grat.Direçao - Magistério - Anexo III</v>
          </cell>
          <cell r="D602" t="str">
            <v>40H</v>
          </cell>
          <cell r="E602">
            <v>40238</v>
          </cell>
          <cell r="G602" t="str">
            <v>07</v>
          </cell>
          <cell r="H602" t="str">
            <v>Grat Equiv-07</v>
          </cell>
          <cell r="I602" t="str">
            <v>Básico</v>
          </cell>
          <cell r="J602">
            <v>603.52</v>
          </cell>
        </row>
        <row r="603">
          <cell r="A603" t="str">
            <v>TV GD MAG ANEXO III 08 40H</v>
          </cell>
          <cell r="B603" t="str">
            <v>TV GD MAG ANEXO III</v>
          </cell>
          <cell r="C603" t="str">
            <v>Tabela de Valores Grat.Direçao - Magistério - Anexo III</v>
          </cell>
          <cell r="D603" t="str">
            <v>40H</v>
          </cell>
          <cell r="E603">
            <v>40238</v>
          </cell>
          <cell r="G603" t="str">
            <v>08</v>
          </cell>
          <cell r="H603" t="str">
            <v>Grat Equiv-08</v>
          </cell>
          <cell r="I603" t="str">
            <v>Básico</v>
          </cell>
          <cell r="J603">
            <v>663.37</v>
          </cell>
        </row>
        <row r="604">
          <cell r="A604" t="str">
            <v>TV GD MAG DIRETOR 01 30H</v>
          </cell>
          <cell r="B604" t="str">
            <v>TV GD MAG DIRETOR</v>
          </cell>
          <cell r="C604" t="str">
            <v>Tabela de Valores Grat.Direçao - Magistério - Diretor</v>
          </cell>
          <cell r="D604" t="str">
            <v>30H</v>
          </cell>
          <cell r="E604">
            <v>40238</v>
          </cell>
          <cell r="G604" t="str">
            <v>01</v>
          </cell>
          <cell r="H604" t="str">
            <v>Diretor - Padrão I</v>
          </cell>
          <cell r="I604" t="str">
            <v>Básico</v>
          </cell>
          <cell r="J604">
            <v>234.42</v>
          </cell>
        </row>
        <row r="605">
          <cell r="A605" t="str">
            <v>TV GD MAG DIRETOR 02 30H</v>
          </cell>
          <cell r="B605" t="str">
            <v>TV GD MAG DIRETOR</v>
          </cell>
          <cell r="C605" t="str">
            <v>Tabela de Valores Grat.Direçao - Magistério - Diretor</v>
          </cell>
          <cell r="D605" t="str">
            <v>30H</v>
          </cell>
          <cell r="E605">
            <v>40238</v>
          </cell>
          <cell r="G605" t="str">
            <v>02</v>
          </cell>
          <cell r="H605" t="str">
            <v>Diretor - Padrão II</v>
          </cell>
          <cell r="I605" t="str">
            <v>Básico</v>
          </cell>
          <cell r="J605">
            <v>299.26</v>
          </cell>
        </row>
        <row r="606">
          <cell r="A606" t="str">
            <v>TV GD MAG DIRETOR 03 30H</v>
          </cell>
          <cell r="B606" t="str">
            <v>TV GD MAG DIRETOR</v>
          </cell>
          <cell r="C606" t="str">
            <v>Tabela de Valores Grat.Direçao - Magistério - Diretor</v>
          </cell>
          <cell r="D606" t="str">
            <v>30H</v>
          </cell>
          <cell r="E606">
            <v>40238</v>
          </cell>
          <cell r="G606" t="str">
            <v>03</v>
          </cell>
          <cell r="H606" t="str">
            <v>Diretor - Padrão III</v>
          </cell>
          <cell r="I606" t="str">
            <v>Básico</v>
          </cell>
          <cell r="J606">
            <v>359.12</v>
          </cell>
        </row>
        <row r="607">
          <cell r="A607" t="str">
            <v>TV GD MAG DIRETOR 04 30H</v>
          </cell>
          <cell r="B607" t="str">
            <v>TV GD MAG DIRETOR</v>
          </cell>
          <cell r="C607" t="str">
            <v>Tabela de Valores Grat.Direçao - Magistério - Diretor</v>
          </cell>
          <cell r="D607" t="str">
            <v>30H</v>
          </cell>
          <cell r="E607">
            <v>40238</v>
          </cell>
          <cell r="G607" t="str">
            <v>04</v>
          </cell>
          <cell r="H607" t="str">
            <v>Diretor - Padrão IV</v>
          </cell>
          <cell r="I607" t="str">
            <v>Básico</v>
          </cell>
          <cell r="J607">
            <v>418.97</v>
          </cell>
        </row>
        <row r="608">
          <cell r="A608" t="str">
            <v>TV GD MAG DIRETOR 05 30H</v>
          </cell>
          <cell r="B608" t="str">
            <v>TV GD MAG DIRETOR</v>
          </cell>
          <cell r="C608" t="str">
            <v>Tabela de Valores Grat.Direçao - Magistério - Diretor</v>
          </cell>
          <cell r="D608" t="str">
            <v>30H</v>
          </cell>
          <cell r="E608">
            <v>40238</v>
          </cell>
          <cell r="G608" t="str">
            <v>05</v>
          </cell>
          <cell r="H608" t="str">
            <v>Diretor - Padrão V</v>
          </cell>
          <cell r="I608" t="str">
            <v>Básico</v>
          </cell>
          <cell r="J608">
            <v>498.78</v>
          </cell>
        </row>
        <row r="609">
          <cell r="A609" t="str">
            <v>TV GD MAG DIRETOR 01 40H</v>
          </cell>
          <cell r="B609" t="str">
            <v>TV GD MAG DIRETOR</v>
          </cell>
          <cell r="C609" t="str">
            <v>Tabela de Valores Grat.Direçao - Magistério - Diretor</v>
          </cell>
          <cell r="D609" t="str">
            <v>40H</v>
          </cell>
          <cell r="E609">
            <v>40238</v>
          </cell>
          <cell r="G609" t="str">
            <v>01</v>
          </cell>
          <cell r="H609" t="str">
            <v>Diretor - Padrão I</v>
          </cell>
          <cell r="I609" t="str">
            <v>Básico</v>
          </cell>
          <cell r="J609">
            <v>314.23</v>
          </cell>
        </row>
        <row r="610">
          <cell r="A610" t="str">
            <v>TV GD MAG DIRETOR 02 40H</v>
          </cell>
          <cell r="B610" t="str">
            <v>TV GD MAG DIRETOR</v>
          </cell>
          <cell r="C610" t="str">
            <v>Tabela de Valores Grat.Direçao - Magistério - Diretor</v>
          </cell>
          <cell r="D610" t="str">
            <v>40H</v>
          </cell>
          <cell r="E610">
            <v>40238</v>
          </cell>
          <cell r="G610" t="str">
            <v>02</v>
          </cell>
          <cell r="H610" t="str">
            <v>Diretor - Padrão II</v>
          </cell>
          <cell r="I610" t="str">
            <v>Básico</v>
          </cell>
          <cell r="J610">
            <v>399.02</v>
          </cell>
        </row>
        <row r="611">
          <cell r="A611" t="str">
            <v>TV GD MAG DIRETOR 03 40H</v>
          </cell>
          <cell r="B611" t="str">
            <v>TV GD MAG DIRETOR</v>
          </cell>
          <cell r="C611" t="str">
            <v>Tabela de Valores Grat.Direçao - Magistério - Diretor</v>
          </cell>
          <cell r="D611" t="str">
            <v>40H</v>
          </cell>
          <cell r="E611">
            <v>40238</v>
          </cell>
          <cell r="G611" t="str">
            <v>03</v>
          </cell>
          <cell r="H611" t="str">
            <v>Diretor - Padrão III</v>
          </cell>
          <cell r="I611" t="str">
            <v>Básico</v>
          </cell>
          <cell r="J611">
            <v>478.82</v>
          </cell>
        </row>
        <row r="612">
          <cell r="A612" t="str">
            <v>TV GD MAG DIRETOR 04 40H</v>
          </cell>
          <cell r="B612" t="str">
            <v>TV GD MAG DIRETOR</v>
          </cell>
          <cell r="C612" t="str">
            <v>Tabela de Valores Grat.Direçao - Magistério - Diretor</v>
          </cell>
          <cell r="D612" t="str">
            <v>40H</v>
          </cell>
          <cell r="E612">
            <v>40238</v>
          </cell>
          <cell r="G612" t="str">
            <v>04</v>
          </cell>
          <cell r="H612" t="str">
            <v>Diretor - Padrão IV</v>
          </cell>
          <cell r="I612" t="str">
            <v>Básico</v>
          </cell>
          <cell r="J612">
            <v>558.63</v>
          </cell>
        </row>
        <row r="613">
          <cell r="A613" t="str">
            <v>TV GD MAG DIRETOR 05 40H</v>
          </cell>
          <cell r="B613" t="str">
            <v>TV GD MAG DIRETOR</v>
          </cell>
          <cell r="C613" t="str">
            <v>Tabela de Valores Grat.Direçao - Magistério - Diretor</v>
          </cell>
          <cell r="D613" t="str">
            <v>40H</v>
          </cell>
          <cell r="E613">
            <v>40238</v>
          </cell>
          <cell r="G613" t="str">
            <v>05</v>
          </cell>
          <cell r="H613" t="str">
            <v>Diretor - Padrão V</v>
          </cell>
          <cell r="I613" t="str">
            <v>Básico</v>
          </cell>
          <cell r="J613">
            <v>663.37</v>
          </cell>
        </row>
        <row r="614">
          <cell r="A614" t="str">
            <v>TV GD MAG VICE 01 20H</v>
          </cell>
          <cell r="B614" t="str">
            <v>TV GD MAG VICE</v>
          </cell>
          <cell r="C614" t="str">
            <v>Tabela de Valores Grat.Direçao - Magistério - Vice-Diretor</v>
          </cell>
          <cell r="D614" t="str">
            <v>20H</v>
          </cell>
          <cell r="E614">
            <v>40238</v>
          </cell>
          <cell r="G614" t="str">
            <v>01</v>
          </cell>
          <cell r="H614" t="str">
            <v>Vice - Padrão I</v>
          </cell>
          <cell r="I614" t="str">
            <v>Básico</v>
          </cell>
          <cell r="J614">
            <v>134.67</v>
          </cell>
        </row>
        <row r="615">
          <cell r="A615" t="str">
            <v>TV GD MAG VICE 02 20H</v>
          </cell>
          <cell r="B615" t="str">
            <v>TV GD MAG VICE</v>
          </cell>
          <cell r="C615" t="str">
            <v>Tabela de Valores Grat.Direçao - Magistério - Vice-Diretor</v>
          </cell>
          <cell r="D615" t="str">
            <v>20H</v>
          </cell>
          <cell r="E615">
            <v>40238</v>
          </cell>
          <cell r="G615" t="str">
            <v>02</v>
          </cell>
          <cell r="H615" t="str">
            <v>Vice - Padrão II</v>
          </cell>
          <cell r="I615" t="str">
            <v>Básico</v>
          </cell>
          <cell r="J615">
            <v>159.6</v>
          </cell>
        </row>
        <row r="616">
          <cell r="A616" t="str">
            <v>TV GD MAG VICE 03 20H</v>
          </cell>
          <cell r="B616" t="str">
            <v>TV GD MAG VICE</v>
          </cell>
          <cell r="C616" t="str">
            <v>Tabela de Valores Grat.Direçao - Magistério - Vice-Diretor</v>
          </cell>
          <cell r="D616" t="str">
            <v>20H</v>
          </cell>
          <cell r="E616">
            <v>40238</v>
          </cell>
          <cell r="G616" t="str">
            <v>03</v>
          </cell>
          <cell r="H616" t="str">
            <v>Vice - Padrão III</v>
          </cell>
          <cell r="I616" t="str">
            <v>Básico</v>
          </cell>
          <cell r="J616">
            <v>199.51</v>
          </cell>
        </row>
        <row r="617">
          <cell r="A617" t="str">
            <v>TV GD MAG VICE 04 20H</v>
          </cell>
          <cell r="B617" t="str">
            <v>TV GD MAG VICE</v>
          </cell>
          <cell r="C617" t="str">
            <v>Tabela de Valores Grat.Direçao - Magistério - Vice-Diretor</v>
          </cell>
          <cell r="D617" t="str">
            <v>20H</v>
          </cell>
          <cell r="E617">
            <v>40238</v>
          </cell>
          <cell r="G617" t="str">
            <v>04</v>
          </cell>
          <cell r="H617" t="str">
            <v>Vice - Padrão IV</v>
          </cell>
          <cell r="I617" t="str">
            <v>Básico</v>
          </cell>
          <cell r="J617">
            <v>234.42</v>
          </cell>
        </row>
        <row r="618">
          <cell r="A618" t="str">
            <v>TV GD MAG VICE 05 20H</v>
          </cell>
          <cell r="B618" t="str">
            <v>TV GD MAG VICE</v>
          </cell>
          <cell r="C618" t="str">
            <v>Tabela de Valores Grat.Direçao - Magistério - Vice-Diretor</v>
          </cell>
          <cell r="D618" t="str">
            <v>20H</v>
          </cell>
          <cell r="E618">
            <v>40238</v>
          </cell>
          <cell r="G618" t="str">
            <v>05</v>
          </cell>
          <cell r="H618" t="str">
            <v>Vice - Padrão V</v>
          </cell>
          <cell r="I618" t="str">
            <v>Básico</v>
          </cell>
          <cell r="J618">
            <v>269.34</v>
          </cell>
        </row>
        <row r="619">
          <cell r="A619" t="str">
            <v>TV GD MAG VICE 01 40H</v>
          </cell>
          <cell r="B619" t="str">
            <v>TV GD MAG VICE</v>
          </cell>
          <cell r="C619" t="str">
            <v>Tabela de Valores Grat.Direçao - Magistério - Vice-Diretor</v>
          </cell>
          <cell r="D619" t="str">
            <v>40H</v>
          </cell>
          <cell r="E619">
            <v>40238</v>
          </cell>
          <cell r="G619" t="str">
            <v>01</v>
          </cell>
          <cell r="H619" t="str">
            <v>Vice - Padrão I</v>
          </cell>
          <cell r="I619" t="str">
            <v>Básico</v>
          </cell>
          <cell r="J619">
            <v>269.34</v>
          </cell>
        </row>
        <row r="620">
          <cell r="A620" t="str">
            <v>TV GD MAG VICE 02 40H</v>
          </cell>
          <cell r="B620" t="str">
            <v>TV GD MAG VICE</v>
          </cell>
          <cell r="C620" t="str">
            <v>Tabela de Valores Grat.Direçao - Magistério - Vice-Diretor</v>
          </cell>
          <cell r="D620" t="str">
            <v>40H</v>
          </cell>
          <cell r="E620">
            <v>40238</v>
          </cell>
          <cell r="G620" t="str">
            <v>02</v>
          </cell>
          <cell r="H620" t="str">
            <v>Vice - Padrão II</v>
          </cell>
          <cell r="I620" t="str">
            <v>Básico</v>
          </cell>
          <cell r="J620">
            <v>319.2</v>
          </cell>
        </row>
        <row r="621">
          <cell r="A621" t="str">
            <v>TV GD MAG VICE 03 40H</v>
          </cell>
          <cell r="B621" t="str">
            <v>TV GD MAG VICE</v>
          </cell>
          <cell r="C621" t="str">
            <v>Tabela de Valores Grat.Direçao - Magistério - Vice-Diretor</v>
          </cell>
          <cell r="D621" t="str">
            <v>40H</v>
          </cell>
          <cell r="E621">
            <v>40238</v>
          </cell>
          <cell r="G621" t="str">
            <v>03</v>
          </cell>
          <cell r="H621" t="str">
            <v>Vice - Padrão III</v>
          </cell>
          <cell r="I621" t="str">
            <v>Básico</v>
          </cell>
          <cell r="J621">
            <v>399.02</v>
          </cell>
        </row>
        <row r="622">
          <cell r="A622" t="str">
            <v>TV GD MAG VICE 04 40H</v>
          </cell>
          <cell r="B622" t="str">
            <v>TV GD MAG VICE</v>
          </cell>
          <cell r="C622" t="str">
            <v>Tabela de Valores Grat.Direçao - Magistério - Vice-Diretor</v>
          </cell>
          <cell r="D622" t="str">
            <v>40H</v>
          </cell>
          <cell r="E622">
            <v>40238</v>
          </cell>
          <cell r="G622" t="str">
            <v>04</v>
          </cell>
          <cell r="H622" t="str">
            <v>Vice - Padrão IV</v>
          </cell>
          <cell r="I622" t="str">
            <v>Básico</v>
          </cell>
          <cell r="J622">
            <v>468.84</v>
          </cell>
        </row>
        <row r="623">
          <cell r="A623" t="str">
            <v>TV GD MAG VICE 05 40H</v>
          </cell>
          <cell r="B623" t="str">
            <v>TV GD MAG VICE</v>
          </cell>
          <cell r="C623" t="str">
            <v>Tabela de Valores Grat.Direçao - Magistério - Vice-Diretor</v>
          </cell>
          <cell r="D623" t="str">
            <v>40H</v>
          </cell>
          <cell r="E623">
            <v>40238</v>
          </cell>
          <cell r="G623" t="str">
            <v>05</v>
          </cell>
          <cell r="H623" t="str">
            <v>Vice - Padrão V</v>
          </cell>
          <cell r="I623" t="str">
            <v>Básico</v>
          </cell>
          <cell r="J623">
            <v>538.68</v>
          </cell>
        </row>
        <row r="624">
          <cell r="A624" t="str">
            <v>TV GERAL 01 40H</v>
          </cell>
          <cell r="B624" t="str">
            <v>TV GERAL</v>
          </cell>
          <cell r="C624" t="str">
            <v>Tabela de Valores Quadro Geral</v>
          </cell>
          <cell r="D624" t="str">
            <v>40H</v>
          </cell>
          <cell r="E624">
            <v>41091</v>
          </cell>
          <cell r="G624" t="str">
            <v>01</v>
          </cell>
          <cell r="H624" t="str">
            <v>Pd 01</v>
          </cell>
          <cell r="I624" t="str">
            <v>Básico</v>
          </cell>
          <cell r="J624">
            <v>355.25</v>
          </cell>
          <cell r="K624" t="str">
            <v>Sus</v>
          </cell>
          <cell r="L624">
            <v>8.5</v>
          </cell>
          <cell r="M624" t="str">
            <v>Pepa</v>
          </cell>
          <cell r="N624">
            <v>84.1</v>
          </cell>
          <cell r="O624" t="str">
            <v>Gipps</v>
          </cell>
          <cell r="P624">
            <v>1</v>
          </cell>
          <cell r="Q624" t="str">
            <v>Parc Aut Especial</v>
          </cell>
          <cell r="R624">
            <v>410</v>
          </cell>
        </row>
        <row r="625">
          <cell r="A625" t="str">
            <v>TV GERAL 02 40H</v>
          </cell>
          <cell r="B625" t="str">
            <v>TV GERAL</v>
          </cell>
          <cell r="C625" t="str">
            <v>Tabela de Valores Quadro Geral</v>
          </cell>
          <cell r="D625" t="str">
            <v>40H</v>
          </cell>
          <cell r="E625">
            <v>41091</v>
          </cell>
          <cell r="G625" t="str">
            <v>02</v>
          </cell>
          <cell r="H625" t="str">
            <v>Pd 02</v>
          </cell>
          <cell r="I625" t="str">
            <v>Básico</v>
          </cell>
          <cell r="J625">
            <v>371.65</v>
          </cell>
          <cell r="K625" t="str">
            <v>Sus</v>
          </cell>
          <cell r="L625">
            <v>8.5</v>
          </cell>
          <cell r="M625" t="str">
            <v>Pepa</v>
          </cell>
          <cell r="N625">
            <v>84.1</v>
          </cell>
          <cell r="O625" t="str">
            <v>Gipps</v>
          </cell>
          <cell r="Q625" t="str">
            <v>Parc Aut Especial</v>
          </cell>
          <cell r="R625">
            <v>400</v>
          </cell>
        </row>
        <row r="626">
          <cell r="A626" t="str">
            <v>TV GERAL 03 40H</v>
          </cell>
          <cell r="B626" t="str">
            <v>TV GERAL</v>
          </cell>
          <cell r="C626" t="str">
            <v>Tabela de Valores Quadro Geral</v>
          </cell>
          <cell r="D626" t="str">
            <v>40H</v>
          </cell>
          <cell r="E626">
            <v>41091</v>
          </cell>
          <cell r="G626" t="str">
            <v>03</v>
          </cell>
          <cell r="H626" t="str">
            <v>Pd 03</v>
          </cell>
          <cell r="I626" t="str">
            <v>Básico</v>
          </cell>
          <cell r="J626">
            <v>389.07</v>
          </cell>
          <cell r="K626" t="str">
            <v>Sus</v>
          </cell>
          <cell r="L626">
            <v>8.5</v>
          </cell>
          <cell r="M626" t="str">
            <v>Pepa</v>
          </cell>
          <cell r="N626">
            <v>84.1</v>
          </cell>
          <cell r="O626" t="str">
            <v>Gipps</v>
          </cell>
          <cell r="Q626" t="str">
            <v>Parc Aut Especial</v>
          </cell>
          <cell r="R626">
            <v>390</v>
          </cell>
        </row>
        <row r="627">
          <cell r="A627" t="str">
            <v>TV GERAL 04 40H</v>
          </cell>
          <cell r="B627" t="str">
            <v>TV GERAL</v>
          </cell>
          <cell r="C627" t="str">
            <v>Tabela de Valores Quadro Geral</v>
          </cell>
          <cell r="D627" t="str">
            <v>40H</v>
          </cell>
          <cell r="E627">
            <v>41091</v>
          </cell>
          <cell r="G627" t="str">
            <v>04</v>
          </cell>
          <cell r="H627" t="str">
            <v>Pd 04</v>
          </cell>
          <cell r="I627" t="str">
            <v>Básico</v>
          </cell>
          <cell r="J627">
            <v>407.9</v>
          </cell>
          <cell r="K627" t="str">
            <v>Sus</v>
          </cell>
          <cell r="L627">
            <v>8.5</v>
          </cell>
          <cell r="M627" t="str">
            <v>Pepa</v>
          </cell>
          <cell r="N627">
            <v>84.1</v>
          </cell>
          <cell r="O627" t="str">
            <v>Gipps</v>
          </cell>
          <cell r="P627">
            <v>1</v>
          </cell>
          <cell r="Q627" t="str">
            <v>Parc Aut Especial</v>
          </cell>
          <cell r="R627">
            <v>380</v>
          </cell>
        </row>
        <row r="628">
          <cell r="A628" t="str">
            <v>TV GERAL 05 40H</v>
          </cell>
          <cell r="B628" t="str">
            <v>TV GERAL</v>
          </cell>
          <cell r="C628" t="str">
            <v>Tabela de Valores Quadro Geral</v>
          </cell>
          <cell r="D628" t="str">
            <v>40H</v>
          </cell>
          <cell r="E628">
            <v>41091</v>
          </cell>
          <cell r="G628" t="str">
            <v>05</v>
          </cell>
          <cell r="H628" t="str">
            <v>Pd 05</v>
          </cell>
          <cell r="I628" t="str">
            <v>Básico</v>
          </cell>
          <cell r="J628">
            <v>427.23</v>
          </cell>
          <cell r="K628" t="str">
            <v>Sus</v>
          </cell>
          <cell r="L628">
            <v>10.1</v>
          </cell>
          <cell r="M628" t="str">
            <v>Pepa</v>
          </cell>
          <cell r="N628">
            <v>84.1</v>
          </cell>
          <cell r="O628" t="str">
            <v>Gipps</v>
          </cell>
          <cell r="Q628" t="str">
            <v>Parc Aut Especial</v>
          </cell>
          <cell r="R628">
            <v>370</v>
          </cell>
        </row>
        <row r="629">
          <cell r="A629" t="str">
            <v>TV GERAL 06 40H</v>
          </cell>
          <cell r="B629" t="str">
            <v>TV GERAL</v>
          </cell>
          <cell r="C629" t="str">
            <v>Tabela de Valores Quadro Geral</v>
          </cell>
          <cell r="D629" t="str">
            <v>40H</v>
          </cell>
          <cell r="E629">
            <v>41091</v>
          </cell>
          <cell r="G629" t="str">
            <v>06</v>
          </cell>
          <cell r="H629" t="str">
            <v>Pd 06</v>
          </cell>
          <cell r="I629" t="str">
            <v>Básico</v>
          </cell>
          <cell r="J629">
            <v>448.35</v>
          </cell>
          <cell r="K629" t="str">
            <v>Sus</v>
          </cell>
          <cell r="L629">
            <v>10.1</v>
          </cell>
          <cell r="M629" t="str">
            <v>Pepa</v>
          </cell>
          <cell r="N629">
            <v>139.5</v>
          </cell>
          <cell r="O629" t="str">
            <v>Gipps</v>
          </cell>
          <cell r="P629">
            <v>1</v>
          </cell>
          <cell r="Q629" t="str">
            <v>Parc Aut Especial</v>
          </cell>
          <cell r="R629">
            <v>360</v>
          </cell>
        </row>
        <row r="630">
          <cell r="A630" t="str">
            <v>TV GERAL 07 40H</v>
          </cell>
          <cell r="B630" t="str">
            <v>TV GERAL</v>
          </cell>
          <cell r="C630" t="str">
            <v>Tabela de Valores Quadro Geral</v>
          </cell>
          <cell r="D630" t="str">
            <v>40H</v>
          </cell>
          <cell r="E630">
            <v>41091</v>
          </cell>
          <cell r="G630" t="str">
            <v>07</v>
          </cell>
          <cell r="H630" t="str">
            <v>Pd 07</v>
          </cell>
          <cell r="I630" t="str">
            <v>Básico</v>
          </cell>
          <cell r="J630">
            <v>470.35</v>
          </cell>
          <cell r="K630" t="str">
            <v>Sus</v>
          </cell>
          <cell r="L630">
            <v>10.1</v>
          </cell>
          <cell r="M630" t="str">
            <v>Pepa</v>
          </cell>
          <cell r="N630">
            <v>139.5</v>
          </cell>
          <cell r="O630" t="str">
            <v>Gipps</v>
          </cell>
          <cell r="P630">
            <v>1</v>
          </cell>
          <cell r="Q630" t="str">
            <v>Parc Aut Especial</v>
          </cell>
          <cell r="R630">
            <v>350</v>
          </cell>
        </row>
        <row r="631">
          <cell r="A631" t="str">
            <v>TV GERAL 08 40H</v>
          </cell>
          <cell r="B631" t="str">
            <v>TV GERAL</v>
          </cell>
          <cell r="C631" t="str">
            <v>Tabela de Valores Quadro Geral</v>
          </cell>
          <cell r="D631" t="str">
            <v>40H</v>
          </cell>
          <cell r="E631">
            <v>41091</v>
          </cell>
          <cell r="G631" t="str">
            <v>08</v>
          </cell>
          <cell r="H631" t="str">
            <v>Pd 08</v>
          </cell>
          <cell r="I631" t="str">
            <v>Básico</v>
          </cell>
          <cell r="J631">
            <v>493.75</v>
          </cell>
          <cell r="K631" t="str">
            <v>Sus</v>
          </cell>
          <cell r="L631">
            <v>10.1</v>
          </cell>
          <cell r="M631" t="str">
            <v>Pepa</v>
          </cell>
          <cell r="N631">
            <v>139.5</v>
          </cell>
          <cell r="O631" t="str">
            <v>Gipps</v>
          </cell>
          <cell r="Q631" t="str">
            <v>Parc Aut Especial</v>
          </cell>
          <cell r="R631">
            <v>340</v>
          </cell>
        </row>
        <row r="632">
          <cell r="A632" t="str">
            <v>TV GERAL 09 40H</v>
          </cell>
          <cell r="B632" t="str">
            <v>TV GERAL</v>
          </cell>
          <cell r="C632" t="str">
            <v>Tabela de Valores Quadro Geral</v>
          </cell>
          <cell r="D632" t="str">
            <v>40H</v>
          </cell>
          <cell r="E632">
            <v>41091</v>
          </cell>
          <cell r="G632" t="str">
            <v>09</v>
          </cell>
          <cell r="H632" t="str">
            <v>Pd 09</v>
          </cell>
          <cell r="I632" t="str">
            <v>Básico</v>
          </cell>
          <cell r="J632">
            <v>518.68</v>
          </cell>
          <cell r="K632" t="str">
            <v>Sus</v>
          </cell>
          <cell r="L632">
            <v>11.6</v>
          </cell>
          <cell r="M632" t="str">
            <v>Pepa</v>
          </cell>
          <cell r="N632">
            <v>139.5</v>
          </cell>
          <cell r="O632" t="str">
            <v>Gipps</v>
          </cell>
          <cell r="Q632" t="str">
            <v>Parc Aut Especial</v>
          </cell>
          <cell r="R632">
            <v>320</v>
          </cell>
        </row>
        <row r="633">
          <cell r="A633" t="str">
            <v>TV GERAL 10 40H</v>
          </cell>
          <cell r="B633" t="str">
            <v>TV GERAL</v>
          </cell>
          <cell r="C633" t="str">
            <v>Tabela de Valores Quadro Geral</v>
          </cell>
          <cell r="D633" t="str">
            <v>40H</v>
          </cell>
          <cell r="E633">
            <v>41091</v>
          </cell>
          <cell r="G633" t="str">
            <v>10</v>
          </cell>
          <cell r="H633" t="str">
            <v>Pd 10</v>
          </cell>
          <cell r="I633" t="str">
            <v>Básico</v>
          </cell>
          <cell r="J633">
            <v>545.01</v>
          </cell>
          <cell r="K633" t="str">
            <v>Sus</v>
          </cell>
          <cell r="L633">
            <v>11.6</v>
          </cell>
          <cell r="M633" t="str">
            <v>Pepa</v>
          </cell>
          <cell r="N633">
            <v>139.5</v>
          </cell>
          <cell r="O633" t="str">
            <v>Gipps</v>
          </cell>
          <cell r="P633">
            <v>1</v>
          </cell>
          <cell r="Q633" t="str">
            <v>Parc Aut Especial</v>
          </cell>
          <cell r="R633">
            <v>300</v>
          </cell>
        </row>
        <row r="634">
          <cell r="A634" t="str">
            <v>TV GERAL 11 40H</v>
          </cell>
          <cell r="B634" t="str">
            <v>TV GERAL</v>
          </cell>
          <cell r="C634" t="str">
            <v>Tabela de Valores Quadro Geral</v>
          </cell>
          <cell r="D634" t="str">
            <v>40H</v>
          </cell>
          <cell r="E634">
            <v>41091</v>
          </cell>
          <cell r="G634" t="str">
            <v>11</v>
          </cell>
          <cell r="H634" t="str">
            <v>Pd 11</v>
          </cell>
          <cell r="I634" t="str">
            <v>Básico</v>
          </cell>
          <cell r="J634">
            <v>572.86</v>
          </cell>
          <cell r="K634" t="str">
            <v>Sus</v>
          </cell>
          <cell r="L634">
            <v>11.6</v>
          </cell>
          <cell r="M634" t="str">
            <v>Pepa</v>
          </cell>
          <cell r="N634">
            <v>251.8</v>
          </cell>
          <cell r="O634" t="str">
            <v>Gipps</v>
          </cell>
          <cell r="P634">
            <v>1</v>
          </cell>
          <cell r="Q634" t="str">
            <v>Parc Aut Especial</v>
          </cell>
          <cell r="R634">
            <v>280</v>
          </cell>
        </row>
        <row r="635">
          <cell r="A635" t="str">
            <v>TV GERAL 12 40H</v>
          </cell>
          <cell r="B635" t="str">
            <v>TV GERAL</v>
          </cell>
          <cell r="C635" t="str">
            <v>Tabela de Valores Quadro Geral</v>
          </cell>
          <cell r="D635" t="str">
            <v>40H</v>
          </cell>
          <cell r="E635">
            <v>41091</v>
          </cell>
          <cell r="G635" t="str">
            <v>12</v>
          </cell>
          <cell r="H635" t="str">
            <v>Pd 12</v>
          </cell>
          <cell r="I635" t="str">
            <v>Básico</v>
          </cell>
          <cell r="J635">
            <v>602.5</v>
          </cell>
          <cell r="K635" t="str">
            <v>Sus</v>
          </cell>
          <cell r="L635">
            <v>11.6</v>
          </cell>
          <cell r="M635" t="str">
            <v>Pepa</v>
          </cell>
          <cell r="N635">
            <v>251.8</v>
          </cell>
          <cell r="O635" t="str">
            <v>Gipps</v>
          </cell>
          <cell r="Q635" t="str">
            <v>Parc Aut Especial</v>
          </cell>
          <cell r="R635">
            <v>260</v>
          </cell>
        </row>
        <row r="636">
          <cell r="A636" t="str">
            <v>TV GERAL 13 40H</v>
          </cell>
          <cell r="B636" t="str">
            <v>TV GERAL</v>
          </cell>
          <cell r="C636" t="str">
            <v>Tabela de Valores Quadro Geral</v>
          </cell>
          <cell r="D636" t="str">
            <v>40H</v>
          </cell>
          <cell r="E636">
            <v>41091</v>
          </cell>
          <cell r="G636" t="str">
            <v>13</v>
          </cell>
          <cell r="H636" t="str">
            <v>Pd 13</v>
          </cell>
          <cell r="I636" t="str">
            <v>Básico</v>
          </cell>
          <cell r="J636">
            <v>633.91</v>
          </cell>
          <cell r="K636" t="str">
            <v>Sus</v>
          </cell>
          <cell r="L636">
            <v>13.4</v>
          </cell>
          <cell r="M636" t="str">
            <v>Pepa</v>
          </cell>
          <cell r="N636">
            <v>376.1</v>
          </cell>
          <cell r="O636" t="str">
            <v>Gipps</v>
          </cell>
          <cell r="P636">
            <v>2</v>
          </cell>
          <cell r="Q636" t="str">
            <v>Parc Aut Especial</v>
          </cell>
          <cell r="R636">
            <v>240</v>
          </cell>
        </row>
        <row r="637">
          <cell r="A637" t="str">
            <v>TV GERAL 14 40H</v>
          </cell>
          <cell r="B637" t="str">
            <v>TV GERAL</v>
          </cell>
          <cell r="C637" t="str">
            <v>Tabela de Valores Quadro Geral</v>
          </cell>
          <cell r="D637" t="str">
            <v>40H</v>
          </cell>
          <cell r="E637">
            <v>41091</v>
          </cell>
          <cell r="G637" t="str">
            <v>14</v>
          </cell>
          <cell r="H637" t="str">
            <v>Pd 14</v>
          </cell>
          <cell r="I637" t="str">
            <v>Básico</v>
          </cell>
          <cell r="J637">
            <v>667.24</v>
          </cell>
          <cell r="K637" t="str">
            <v>Sus</v>
          </cell>
          <cell r="L637">
            <v>13.4</v>
          </cell>
          <cell r="M637" t="str">
            <v>Pepa</v>
          </cell>
          <cell r="N637">
            <v>376.1</v>
          </cell>
          <cell r="O637" t="str">
            <v>Gipps</v>
          </cell>
          <cell r="Q637" t="str">
            <v>Parc Aut Especial</v>
          </cell>
          <cell r="R637">
            <v>210</v>
          </cell>
        </row>
        <row r="638">
          <cell r="A638" t="str">
            <v>TV GERAL 15 40H</v>
          </cell>
          <cell r="B638" t="str">
            <v>TV GERAL</v>
          </cell>
          <cell r="C638" t="str">
            <v>Tabela de Valores Quadro Geral</v>
          </cell>
          <cell r="D638" t="str">
            <v>40H</v>
          </cell>
          <cell r="E638">
            <v>41091</v>
          </cell>
          <cell r="G638" t="str">
            <v>15</v>
          </cell>
          <cell r="H638" t="str">
            <v>Pd 15</v>
          </cell>
          <cell r="I638" t="str">
            <v>Básico</v>
          </cell>
          <cell r="J638">
            <v>702.6</v>
          </cell>
          <cell r="K638" t="str">
            <v>Sus</v>
          </cell>
          <cell r="L638">
            <v>13.4</v>
          </cell>
          <cell r="M638" t="str">
            <v>Pepa</v>
          </cell>
          <cell r="N638">
            <v>543.8</v>
          </cell>
          <cell r="O638" t="str">
            <v>Gipps</v>
          </cell>
          <cell r="Q638" t="str">
            <v>Parc Aut Especial</v>
          </cell>
          <cell r="R638">
            <v>180</v>
          </cell>
        </row>
        <row r="639">
          <cell r="A639" t="str">
            <v>TV GERAL 16 40H</v>
          </cell>
          <cell r="B639" t="str">
            <v>TV GERAL</v>
          </cell>
          <cell r="C639" t="str">
            <v>Tabela de Valores Quadro Geral</v>
          </cell>
          <cell r="D639" t="str">
            <v>40H</v>
          </cell>
          <cell r="E639">
            <v>41091</v>
          </cell>
          <cell r="G639" t="str">
            <v>16</v>
          </cell>
          <cell r="H639" t="str">
            <v>Pd 16</v>
          </cell>
          <cell r="I639" t="str">
            <v>Básico</v>
          </cell>
          <cell r="J639">
            <v>739.73</v>
          </cell>
          <cell r="K639" t="str">
            <v>Sus</v>
          </cell>
          <cell r="L639">
            <v>13.4</v>
          </cell>
          <cell r="M639" t="str">
            <v>Pepa</v>
          </cell>
          <cell r="N639">
            <v>543.8</v>
          </cell>
          <cell r="O639" t="str">
            <v>Gipps</v>
          </cell>
          <cell r="Q639" t="str">
            <v>Parc Aut Especial</v>
          </cell>
          <cell r="R639">
            <v>150</v>
          </cell>
        </row>
        <row r="640">
          <cell r="A640" t="str">
            <v>TV GERAL 1 01 40H</v>
          </cell>
          <cell r="B640" t="str">
            <v>TV GERAL 1</v>
          </cell>
          <cell r="C640" t="str">
            <v>Tabela de Valores Quadro Geral - Lei 14.234/13</v>
          </cell>
          <cell r="D640" t="str">
            <v>40H</v>
          </cell>
          <cell r="E640">
            <v>41699</v>
          </cell>
          <cell r="G640" t="str">
            <v>01</v>
          </cell>
          <cell r="H640" t="str">
            <v>Médio - Grau A Nív. I</v>
          </cell>
          <cell r="I640" t="str">
            <v>Básico</v>
          </cell>
          <cell r="J640">
            <v>962.81</v>
          </cell>
          <cell r="K640" t="str">
            <v>Parc Aut Especial</v>
          </cell>
          <cell r="L640">
            <v>280</v>
          </cell>
          <cell r="M640" t="str">
            <v>Sus</v>
          </cell>
          <cell r="N640">
            <v>13.4</v>
          </cell>
          <cell r="O640" t="str">
            <v>Pepa</v>
          </cell>
          <cell r="P640">
            <v>376.1</v>
          </cell>
        </row>
        <row r="641">
          <cell r="A641" t="str">
            <v>TV GERAL 1 02 40H</v>
          </cell>
          <cell r="B641" t="str">
            <v>TV GERAL 1</v>
          </cell>
          <cell r="C641" t="str">
            <v>Tabela de Valores Quadro Geral - Lei 14.234/13</v>
          </cell>
          <cell r="D641" t="str">
            <v>40H</v>
          </cell>
          <cell r="E641">
            <v>41699</v>
          </cell>
          <cell r="G641" t="str">
            <v>02</v>
          </cell>
          <cell r="H641" t="str">
            <v>Médio - Grau A Nív. II</v>
          </cell>
          <cell r="I641" t="str">
            <v>Básico</v>
          </cell>
          <cell r="J641">
            <v>1010.95</v>
          </cell>
          <cell r="K641" t="str">
            <v>Parc Aut Especial</v>
          </cell>
          <cell r="L641">
            <v>280</v>
          </cell>
          <cell r="M641" t="str">
            <v>Sus</v>
          </cell>
          <cell r="N641">
            <v>13.4</v>
          </cell>
          <cell r="O641" t="str">
            <v>Pepa</v>
          </cell>
          <cell r="P641">
            <v>376.1</v>
          </cell>
        </row>
        <row r="642">
          <cell r="A642" t="str">
            <v>TV GERAL 1 03 40H</v>
          </cell>
          <cell r="B642" t="str">
            <v>TV GERAL 1</v>
          </cell>
          <cell r="C642" t="str">
            <v>Tabela de Valores Quadro Geral - Lei 14.234/13</v>
          </cell>
          <cell r="D642" t="str">
            <v>40H</v>
          </cell>
          <cell r="E642">
            <v>41699</v>
          </cell>
          <cell r="G642" t="str">
            <v>03</v>
          </cell>
          <cell r="H642" t="str">
            <v>Médio - Grau B Nív. I</v>
          </cell>
          <cell r="I642" t="str">
            <v>Básico</v>
          </cell>
          <cell r="J642">
            <v>1010.95</v>
          </cell>
          <cell r="K642" t="str">
            <v>Parc Aut Especial</v>
          </cell>
          <cell r="L642">
            <v>280</v>
          </cell>
          <cell r="M642" t="str">
            <v>Sus</v>
          </cell>
          <cell r="N642">
            <v>13.4</v>
          </cell>
          <cell r="O642" t="str">
            <v>Pepa</v>
          </cell>
          <cell r="P642">
            <v>376.1</v>
          </cell>
        </row>
        <row r="643">
          <cell r="A643" t="str">
            <v>TV GERAL 1 04 40H</v>
          </cell>
          <cell r="B643" t="str">
            <v>TV GERAL 1</v>
          </cell>
          <cell r="C643" t="str">
            <v>Tabela de Valores Quadro Geral - Lei 14.234/13</v>
          </cell>
          <cell r="D643" t="str">
            <v>40H</v>
          </cell>
          <cell r="E643">
            <v>41699</v>
          </cell>
          <cell r="G643" t="str">
            <v>04</v>
          </cell>
          <cell r="H643" t="str">
            <v>Médio - Grau B Nív. II</v>
          </cell>
          <cell r="I643" t="str">
            <v>Básico</v>
          </cell>
          <cell r="J643">
            <v>1061.5</v>
          </cell>
          <cell r="K643" t="str">
            <v>Parc Aut Especial</v>
          </cell>
          <cell r="L643">
            <v>280</v>
          </cell>
          <cell r="M643" t="str">
            <v>Sus</v>
          </cell>
          <cell r="N643">
            <v>13.4</v>
          </cell>
          <cell r="O643" t="str">
            <v>Pepa</v>
          </cell>
          <cell r="P643">
            <v>376.1</v>
          </cell>
        </row>
        <row r="644">
          <cell r="A644" t="str">
            <v>TV GERAL 1 05 40H</v>
          </cell>
          <cell r="B644" t="str">
            <v>TV GERAL 1</v>
          </cell>
          <cell r="C644" t="str">
            <v>Tabela de Valores Quadro Geral - Lei 14.234/13</v>
          </cell>
          <cell r="D644" t="str">
            <v>40H</v>
          </cell>
          <cell r="E644">
            <v>41699</v>
          </cell>
          <cell r="G644" t="str">
            <v>05</v>
          </cell>
          <cell r="H644" t="str">
            <v>Médio - Grau C Nív. I</v>
          </cell>
          <cell r="I644" t="str">
            <v>Básico</v>
          </cell>
          <cell r="J644">
            <v>1061.5</v>
          </cell>
          <cell r="K644" t="str">
            <v>Parc Aut Especial</v>
          </cell>
          <cell r="L644">
            <v>270</v>
          </cell>
          <cell r="M644" t="str">
            <v>Sus</v>
          </cell>
          <cell r="N644">
            <v>13.4</v>
          </cell>
          <cell r="O644" t="str">
            <v>Pepa</v>
          </cell>
          <cell r="P644">
            <v>543.8</v>
          </cell>
        </row>
        <row r="645">
          <cell r="A645" t="str">
            <v>TV GERAL 1 06 40H</v>
          </cell>
          <cell r="B645" t="str">
            <v>TV GERAL 1</v>
          </cell>
          <cell r="C645" t="str">
            <v>Tabela de Valores Quadro Geral - Lei 14.234/13</v>
          </cell>
          <cell r="D645" t="str">
            <v>40H</v>
          </cell>
          <cell r="E645">
            <v>41699</v>
          </cell>
          <cell r="G645" t="str">
            <v>06</v>
          </cell>
          <cell r="H645" t="str">
            <v>Médio - Grau C Nív. II</v>
          </cell>
          <cell r="I645" t="str">
            <v>Básico</v>
          </cell>
          <cell r="J645">
            <v>1114.57</v>
          </cell>
          <cell r="K645" t="str">
            <v>Parc Aut Especial</v>
          </cell>
          <cell r="L645">
            <v>270</v>
          </cell>
          <cell r="M645" t="str">
            <v>Sus</v>
          </cell>
          <cell r="N645">
            <v>13.4</v>
          </cell>
          <cell r="O645" t="str">
            <v>Pepa</v>
          </cell>
          <cell r="P645">
            <v>543.8</v>
          </cell>
        </row>
        <row r="646">
          <cell r="A646" t="str">
            <v>TV GERAL 1 07 40H</v>
          </cell>
          <cell r="B646" t="str">
            <v>TV GERAL 1</v>
          </cell>
          <cell r="C646" t="str">
            <v>Tabela de Valores Quadro Geral - Lei 14.234/13</v>
          </cell>
          <cell r="D646" t="str">
            <v>40H</v>
          </cell>
          <cell r="E646">
            <v>41699</v>
          </cell>
          <cell r="G646" t="str">
            <v>07</v>
          </cell>
          <cell r="H646" t="str">
            <v>Médio - Grau D Nív. I</v>
          </cell>
          <cell r="I646" t="str">
            <v>Básico</v>
          </cell>
          <cell r="J646">
            <v>1114.57</v>
          </cell>
          <cell r="K646" t="str">
            <v>Parc Aut Especial</v>
          </cell>
          <cell r="L646">
            <v>270</v>
          </cell>
          <cell r="M646" t="str">
            <v>Sus</v>
          </cell>
          <cell r="N646">
            <v>13.4</v>
          </cell>
          <cell r="O646" t="str">
            <v>Pepa</v>
          </cell>
          <cell r="P646">
            <v>543.8</v>
          </cell>
        </row>
        <row r="647">
          <cell r="A647" t="str">
            <v>TV GERAL 1 08 40H</v>
          </cell>
          <cell r="B647" t="str">
            <v>TV GERAL 1</v>
          </cell>
          <cell r="C647" t="str">
            <v>Tabela de Valores Quadro Geral - Lei 14.234/13</v>
          </cell>
          <cell r="D647" t="str">
            <v>40H</v>
          </cell>
          <cell r="E647">
            <v>41699</v>
          </cell>
          <cell r="G647" t="str">
            <v>08</v>
          </cell>
          <cell r="H647" t="str">
            <v>Médio - Grau D Nív. II</v>
          </cell>
          <cell r="I647" t="str">
            <v>Básico</v>
          </cell>
          <cell r="J647">
            <v>1170.3</v>
          </cell>
          <cell r="K647" t="str">
            <v>Parc Aut Especial</v>
          </cell>
          <cell r="L647">
            <v>270</v>
          </cell>
          <cell r="M647" t="str">
            <v>Sus</v>
          </cell>
          <cell r="N647">
            <v>13.4</v>
          </cell>
          <cell r="O647" t="str">
            <v>Pepa</v>
          </cell>
          <cell r="P647">
            <v>543.8</v>
          </cell>
        </row>
        <row r="648">
          <cell r="A648" t="str">
            <v>TV GERAL 1 09 40H</v>
          </cell>
          <cell r="B648" t="str">
            <v>TV GERAL 1</v>
          </cell>
          <cell r="C648" t="str">
            <v>Tabela de Valores Quadro Geral - Lei 14.234/13</v>
          </cell>
          <cell r="D648" t="str">
            <v>40H</v>
          </cell>
          <cell r="E648">
            <v>41699</v>
          </cell>
          <cell r="G648" t="str">
            <v>09</v>
          </cell>
          <cell r="H648" t="str">
            <v>Médio - Grau E Nív. I</v>
          </cell>
          <cell r="I648" t="str">
            <v>Básico</v>
          </cell>
          <cell r="J648">
            <v>1170.3</v>
          </cell>
          <cell r="K648" t="str">
            <v>Parc Aut Especial</v>
          </cell>
          <cell r="L648">
            <v>260</v>
          </cell>
          <cell r="M648" t="str">
            <v>Sus</v>
          </cell>
          <cell r="N648">
            <v>13.4</v>
          </cell>
          <cell r="O648" t="str">
            <v>Pepa</v>
          </cell>
          <cell r="P648">
            <v>543.8</v>
          </cell>
        </row>
        <row r="649">
          <cell r="A649" t="str">
            <v>TV GERAL 1 10 40H</v>
          </cell>
          <cell r="B649" t="str">
            <v>TV GERAL 1</v>
          </cell>
          <cell r="C649" t="str">
            <v>Tabela de Valores Quadro Geral - Lei 14.234/13</v>
          </cell>
          <cell r="D649" t="str">
            <v>40H</v>
          </cell>
          <cell r="E649">
            <v>41699</v>
          </cell>
          <cell r="G649" t="str">
            <v>10</v>
          </cell>
          <cell r="H649" t="str">
            <v>Médio - Grau E Nív. II</v>
          </cell>
          <cell r="I649" t="str">
            <v>Básico</v>
          </cell>
          <cell r="J649">
            <v>1228.82</v>
          </cell>
          <cell r="K649" t="str">
            <v>Parc Aut Especial</v>
          </cell>
          <cell r="L649">
            <v>260</v>
          </cell>
          <cell r="M649" t="str">
            <v>Sus</v>
          </cell>
          <cell r="N649">
            <v>13.4</v>
          </cell>
          <cell r="O649" t="str">
            <v>Pepa</v>
          </cell>
          <cell r="P649">
            <v>543.8</v>
          </cell>
        </row>
        <row r="650">
          <cell r="A650" t="str">
            <v>TV GERAL 1 11 40H</v>
          </cell>
          <cell r="B650" t="str">
            <v>TV GERAL 1</v>
          </cell>
          <cell r="C650" t="str">
            <v>Tabela de Valores Quadro Geral - Lei 14.234/13</v>
          </cell>
          <cell r="D650" t="str">
            <v>40H</v>
          </cell>
          <cell r="E650">
            <v>41699</v>
          </cell>
          <cell r="G650" t="str">
            <v>11</v>
          </cell>
          <cell r="H650" t="str">
            <v>Médio - Grau F Nív. I</v>
          </cell>
          <cell r="I650" t="str">
            <v>Básico</v>
          </cell>
          <cell r="J650">
            <v>1228.82</v>
          </cell>
          <cell r="K650" t="str">
            <v>Parc Aut Especial</v>
          </cell>
          <cell r="L650">
            <v>260</v>
          </cell>
          <cell r="M650" t="str">
            <v>Sus</v>
          </cell>
          <cell r="N650">
            <v>13.4</v>
          </cell>
          <cell r="O650" t="str">
            <v>Pepa</v>
          </cell>
          <cell r="P650">
            <v>543.8</v>
          </cell>
        </row>
        <row r="651">
          <cell r="A651" t="str">
            <v>TV GERAL 1 12 40H</v>
          </cell>
          <cell r="B651" t="str">
            <v>TV GERAL 1</v>
          </cell>
          <cell r="C651" t="str">
            <v>Tabela de Valores Quadro Geral - Lei 14.234/13</v>
          </cell>
          <cell r="D651" t="str">
            <v>40H</v>
          </cell>
          <cell r="E651">
            <v>41699</v>
          </cell>
          <cell r="G651" t="str">
            <v>12</v>
          </cell>
          <cell r="H651" t="str">
            <v>Médio - Grau F Nív. II</v>
          </cell>
          <cell r="I651" t="str">
            <v>Básico</v>
          </cell>
          <cell r="J651">
            <v>1290.26</v>
          </cell>
          <cell r="K651" t="str">
            <v>Parc Aut Especial</v>
          </cell>
          <cell r="L651">
            <v>260</v>
          </cell>
          <cell r="M651" t="str">
            <v>Sus</v>
          </cell>
          <cell r="N651">
            <v>13.4</v>
          </cell>
          <cell r="O651" t="str">
            <v>Pepa</v>
          </cell>
          <cell r="P651">
            <v>543.8</v>
          </cell>
        </row>
        <row r="652">
          <cell r="A652" t="str">
            <v>TV GERAL 1 13 40H</v>
          </cell>
          <cell r="B652" t="str">
            <v>TV GERAL 1</v>
          </cell>
          <cell r="C652" t="str">
            <v>Tabela de Valores Quadro Geral - Lei 14.234/13</v>
          </cell>
          <cell r="D652" t="str">
            <v>40H</v>
          </cell>
          <cell r="E652">
            <v>41699</v>
          </cell>
          <cell r="G652" t="str">
            <v>13</v>
          </cell>
          <cell r="H652" t="str">
            <v>Técnico - Grau A Nív. I</v>
          </cell>
          <cell r="I652" t="str">
            <v>Básico</v>
          </cell>
          <cell r="J652">
            <v>1302.5</v>
          </cell>
          <cell r="K652" t="str">
            <v>Parc Aut Especial</v>
          </cell>
          <cell r="L652">
            <v>143</v>
          </cell>
          <cell r="M652" t="str">
            <v>Sus</v>
          </cell>
          <cell r="N652">
            <v>13.4</v>
          </cell>
          <cell r="O652" t="str">
            <v>Pepa</v>
          </cell>
          <cell r="P652">
            <v>376.1</v>
          </cell>
        </row>
        <row r="653">
          <cell r="A653" t="str">
            <v>TV GERAL 1 14 40H</v>
          </cell>
          <cell r="B653" t="str">
            <v>TV GERAL 1</v>
          </cell>
          <cell r="C653" t="str">
            <v>Tabela de Valores Quadro Geral - Lei 14.234/13</v>
          </cell>
          <cell r="D653" t="str">
            <v>40H</v>
          </cell>
          <cell r="E653">
            <v>41699</v>
          </cell>
          <cell r="G653" t="str">
            <v>14</v>
          </cell>
          <cell r="H653" t="str">
            <v>Técnico - Grau A Nív. II</v>
          </cell>
          <cell r="I653" t="str">
            <v>Básico</v>
          </cell>
          <cell r="J653">
            <v>1367.63</v>
          </cell>
          <cell r="K653" t="str">
            <v>Parc Aut Especial</v>
          </cell>
          <cell r="L653">
            <v>143</v>
          </cell>
          <cell r="M653" t="str">
            <v>Sus</v>
          </cell>
          <cell r="N653">
            <v>13.4</v>
          </cell>
          <cell r="O653" t="str">
            <v>Pepa</v>
          </cell>
          <cell r="P653">
            <v>376.1</v>
          </cell>
        </row>
        <row r="654">
          <cell r="A654" t="str">
            <v>TV GERAL 1 15 40H</v>
          </cell>
          <cell r="B654" t="str">
            <v>TV GERAL 1</v>
          </cell>
          <cell r="C654" t="str">
            <v>Tabela de Valores Quadro Geral - Lei 14.234/13</v>
          </cell>
          <cell r="D654" t="str">
            <v>40H</v>
          </cell>
          <cell r="E654">
            <v>41699</v>
          </cell>
          <cell r="G654" t="str">
            <v>15</v>
          </cell>
          <cell r="H654" t="str">
            <v>Técnico - Grau B Nív. I</v>
          </cell>
          <cell r="I654" t="str">
            <v>Básico</v>
          </cell>
          <cell r="J654">
            <v>1367.63</v>
          </cell>
          <cell r="K654" t="str">
            <v>Parc Aut Especial</v>
          </cell>
          <cell r="L654">
            <v>127</v>
          </cell>
          <cell r="M654" t="str">
            <v>Sus</v>
          </cell>
          <cell r="N654">
            <v>13.4</v>
          </cell>
          <cell r="O654" t="str">
            <v>Pepa</v>
          </cell>
          <cell r="P654">
            <v>376.1</v>
          </cell>
        </row>
        <row r="655">
          <cell r="A655" t="str">
            <v>TV GERAL 1 16 40H</v>
          </cell>
          <cell r="B655" t="str">
            <v>TV GERAL 1</v>
          </cell>
          <cell r="C655" t="str">
            <v>Tabela de Valores Quadro Geral - Lei 14.234/13</v>
          </cell>
          <cell r="D655" t="str">
            <v>40H</v>
          </cell>
          <cell r="E655">
            <v>41699</v>
          </cell>
          <cell r="G655" t="str">
            <v>16</v>
          </cell>
          <cell r="H655" t="str">
            <v>Técnico - Grau B Nív. II</v>
          </cell>
          <cell r="I655" t="str">
            <v>Básico</v>
          </cell>
          <cell r="J655">
            <v>1436.01</v>
          </cell>
          <cell r="K655" t="str">
            <v>Parc Aut Especial</v>
          </cell>
          <cell r="L655">
            <v>127</v>
          </cell>
          <cell r="M655" t="str">
            <v>Sus</v>
          </cell>
          <cell r="N655">
            <v>13.4</v>
          </cell>
          <cell r="O655" t="str">
            <v>Pepa</v>
          </cell>
          <cell r="P655">
            <v>376.1</v>
          </cell>
        </row>
        <row r="656">
          <cell r="A656" t="str">
            <v>TV GERAL 1 17 40H</v>
          </cell>
          <cell r="B656" t="str">
            <v>TV GERAL 1</v>
          </cell>
          <cell r="C656" t="str">
            <v>Tabela de Valores Quadro Geral - Lei 14.234/13</v>
          </cell>
          <cell r="D656" t="str">
            <v>40H</v>
          </cell>
          <cell r="E656">
            <v>41699</v>
          </cell>
          <cell r="G656" t="str">
            <v>17</v>
          </cell>
          <cell r="H656" t="str">
            <v>Técnico - Grau C Nív. I</v>
          </cell>
          <cell r="I656" t="str">
            <v>Básico</v>
          </cell>
          <cell r="J656">
            <v>1436.01</v>
          </cell>
          <cell r="K656" t="str">
            <v>Parc Aut Especial</v>
          </cell>
          <cell r="L656">
            <v>120</v>
          </cell>
          <cell r="M656" t="str">
            <v>Sus</v>
          </cell>
          <cell r="N656">
            <v>13.4</v>
          </cell>
          <cell r="O656" t="str">
            <v>Pepa</v>
          </cell>
          <cell r="P656">
            <v>543.8</v>
          </cell>
        </row>
        <row r="657">
          <cell r="A657" t="str">
            <v>TV GERAL 1 18 40H</v>
          </cell>
          <cell r="B657" t="str">
            <v>TV GERAL 1</v>
          </cell>
          <cell r="C657" t="str">
            <v>Tabela de Valores Quadro Geral - Lei 14.234/13</v>
          </cell>
          <cell r="D657" t="str">
            <v>40H</v>
          </cell>
          <cell r="E657">
            <v>41699</v>
          </cell>
          <cell r="G657" t="str">
            <v>18</v>
          </cell>
          <cell r="H657" t="str">
            <v>Técnico - Grau C Nív. II</v>
          </cell>
          <cell r="I657" t="str">
            <v>Básico</v>
          </cell>
          <cell r="J657">
            <v>1507.81</v>
          </cell>
          <cell r="K657" t="str">
            <v>Parc Aut Especial</v>
          </cell>
          <cell r="L657">
            <v>120</v>
          </cell>
          <cell r="M657" t="str">
            <v>Sus</v>
          </cell>
          <cell r="N657">
            <v>13.4</v>
          </cell>
          <cell r="O657" t="str">
            <v>Pepa</v>
          </cell>
          <cell r="P657">
            <v>543.8</v>
          </cell>
        </row>
        <row r="658">
          <cell r="A658" t="str">
            <v>TV GERAL 1 19 40H</v>
          </cell>
          <cell r="B658" t="str">
            <v>TV GERAL 1</v>
          </cell>
          <cell r="C658" t="str">
            <v>Tabela de Valores Quadro Geral - Lei 14.234/13</v>
          </cell>
          <cell r="D658" t="str">
            <v>40H</v>
          </cell>
          <cell r="E658">
            <v>41699</v>
          </cell>
          <cell r="G658" t="str">
            <v>19</v>
          </cell>
          <cell r="H658" t="str">
            <v>Técnico - Grau D Nív. I</v>
          </cell>
          <cell r="I658" t="str">
            <v>Básico</v>
          </cell>
          <cell r="J658">
            <v>1507.81</v>
          </cell>
          <cell r="K658" t="str">
            <v>Parc Aut Especial</v>
          </cell>
          <cell r="L658">
            <v>120</v>
          </cell>
          <cell r="M658" t="str">
            <v>Sus</v>
          </cell>
          <cell r="N658">
            <v>13.4</v>
          </cell>
          <cell r="O658" t="str">
            <v>Pepa</v>
          </cell>
          <cell r="P658">
            <v>543.8</v>
          </cell>
        </row>
        <row r="659">
          <cell r="A659" t="str">
            <v>TV GERAL 1 20 40H</v>
          </cell>
          <cell r="B659" t="str">
            <v>TV GERAL 1</v>
          </cell>
          <cell r="C659" t="str">
            <v>Tabela de Valores Quadro Geral - Lei 14.234/13</v>
          </cell>
          <cell r="D659" t="str">
            <v>40H</v>
          </cell>
          <cell r="E659">
            <v>41699</v>
          </cell>
          <cell r="G659" t="str">
            <v>20</v>
          </cell>
          <cell r="H659" t="str">
            <v>Técnico - Grau D Nív. II</v>
          </cell>
          <cell r="I659" t="str">
            <v>Básico</v>
          </cell>
          <cell r="J659">
            <v>1583.2</v>
          </cell>
          <cell r="K659" t="str">
            <v>Parc Aut Especial</v>
          </cell>
          <cell r="L659">
            <v>120</v>
          </cell>
          <cell r="M659" t="str">
            <v>Sus</v>
          </cell>
          <cell r="N659">
            <v>13.4</v>
          </cell>
          <cell r="O659" t="str">
            <v>Pepa</v>
          </cell>
          <cell r="P659">
            <v>543.8</v>
          </cell>
        </row>
        <row r="660">
          <cell r="A660" t="str">
            <v>TV GERAL 1 21 40H</v>
          </cell>
          <cell r="B660" t="str">
            <v>TV GERAL 1</v>
          </cell>
          <cell r="C660" t="str">
            <v>Tabela de Valores Quadro Geral - Lei 14.234/13</v>
          </cell>
          <cell r="D660" t="str">
            <v>40H</v>
          </cell>
          <cell r="E660">
            <v>41699</v>
          </cell>
          <cell r="G660" t="str">
            <v>21</v>
          </cell>
          <cell r="H660" t="str">
            <v>Técnico - Grau E Nív. I</v>
          </cell>
          <cell r="I660" t="str">
            <v>Básico</v>
          </cell>
          <cell r="J660">
            <v>1583.2</v>
          </cell>
          <cell r="K660" t="str">
            <v>Parc Aut Especial</v>
          </cell>
          <cell r="L660">
            <v>115</v>
          </cell>
          <cell r="M660" t="str">
            <v>Sus</v>
          </cell>
          <cell r="N660">
            <v>13.4</v>
          </cell>
          <cell r="O660" t="str">
            <v>Pepa</v>
          </cell>
          <cell r="P660">
            <v>543.8</v>
          </cell>
        </row>
        <row r="661">
          <cell r="A661" t="str">
            <v>TV GERAL 1 22 40H</v>
          </cell>
          <cell r="B661" t="str">
            <v>TV GERAL 1</v>
          </cell>
          <cell r="C661" t="str">
            <v>Tabela de Valores Quadro Geral - Lei 14.234/13</v>
          </cell>
          <cell r="D661" t="str">
            <v>40H</v>
          </cell>
          <cell r="E661">
            <v>41699</v>
          </cell>
          <cell r="G661" t="str">
            <v>22</v>
          </cell>
          <cell r="H661" t="str">
            <v>Técnico - Grau E Nív. II</v>
          </cell>
          <cell r="I661" t="str">
            <v>Básico</v>
          </cell>
          <cell r="J661">
            <v>1662.36</v>
          </cell>
          <cell r="K661" t="str">
            <v>Parc Aut Especial</v>
          </cell>
          <cell r="L661">
            <v>115</v>
          </cell>
          <cell r="M661" t="str">
            <v>Sus</v>
          </cell>
          <cell r="N661">
            <v>13.4</v>
          </cell>
          <cell r="O661" t="str">
            <v>Pepa</v>
          </cell>
          <cell r="P661">
            <v>543.8</v>
          </cell>
        </row>
        <row r="662">
          <cell r="A662" t="str">
            <v>TV GERAL 1 23 40H</v>
          </cell>
          <cell r="B662" t="str">
            <v>TV GERAL 1</v>
          </cell>
          <cell r="C662" t="str">
            <v>Tabela de Valores Quadro Geral - Lei 14.234/13</v>
          </cell>
          <cell r="D662" t="str">
            <v>40H</v>
          </cell>
          <cell r="E662">
            <v>41699</v>
          </cell>
          <cell r="G662" t="str">
            <v>23</v>
          </cell>
          <cell r="H662" t="str">
            <v>Técnico - Grau F Nív. I</v>
          </cell>
          <cell r="I662" t="str">
            <v>Básico</v>
          </cell>
          <cell r="J662">
            <v>1662.36</v>
          </cell>
          <cell r="K662" t="str">
            <v>Parc Aut Especial</v>
          </cell>
          <cell r="L662">
            <v>115</v>
          </cell>
          <cell r="M662" t="str">
            <v>Sus</v>
          </cell>
          <cell r="N662">
            <v>13.4</v>
          </cell>
          <cell r="O662" t="str">
            <v>Pepa</v>
          </cell>
          <cell r="P662">
            <v>543.8</v>
          </cell>
        </row>
        <row r="663">
          <cell r="A663" t="str">
            <v>TV GERAL 1 24 40H</v>
          </cell>
          <cell r="B663" t="str">
            <v>TV GERAL 1</v>
          </cell>
          <cell r="C663" t="str">
            <v>Tabela de Valores Quadro Geral - Lei 14.234/13</v>
          </cell>
          <cell r="D663" t="str">
            <v>40H</v>
          </cell>
          <cell r="E663">
            <v>41699</v>
          </cell>
          <cell r="G663" t="str">
            <v>24</v>
          </cell>
          <cell r="H663" t="str">
            <v>Técnico - Grau F Nív. II</v>
          </cell>
          <cell r="I663" t="str">
            <v>Básico</v>
          </cell>
          <cell r="J663">
            <v>1745.47</v>
          </cell>
          <cell r="K663" t="str">
            <v>Parc Aut Especial</v>
          </cell>
          <cell r="L663">
            <v>115</v>
          </cell>
          <cell r="M663" t="str">
            <v>Sus</v>
          </cell>
          <cell r="N663">
            <v>13.4</v>
          </cell>
          <cell r="O663" t="str">
            <v>Pepa</v>
          </cell>
          <cell r="P663">
            <v>543.8</v>
          </cell>
        </row>
        <row r="664">
          <cell r="A664" t="str">
            <v>TV GERAL 2 01 40H</v>
          </cell>
          <cell r="B664" t="str">
            <v>TV GERAL 2</v>
          </cell>
          <cell r="C664" t="str">
            <v>Tabela de Valores Quadro Geral em Extinção - Lei 14.234/13</v>
          </cell>
          <cell r="D664" t="str">
            <v>40H</v>
          </cell>
          <cell r="E664">
            <v>41699</v>
          </cell>
          <cell r="G664" t="str">
            <v>01</v>
          </cell>
          <cell r="H664" t="str">
            <v>Padrão 01 - Nív I</v>
          </cell>
          <cell r="I664" t="str">
            <v>Básico</v>
          </cell>
          <cell r="J664">
            <v>444.06</v>
          </cell>
          <cell r="K664" t="str">
            <v>Parc Aut Especial</v>
          </cell>
          <cell r="L664">
            <v>471.5</v>
          </cell>
          <cell r="M664" t="str">
            <v>Sus</v>
          </cell>
          <cell r="N664">
            <v>8.5</v>
          </cell>
          <cell r="O664" t="str">
            <v>Pepa</v>
          </cell>
          <cell r="P664">
            <v>84.1</v>
          </cell>
        </row>
        <row r="665">
          <cell r="A665" t="str">
            <v>TV GERAL 2 02 40H</v>
          </cell>
          <cell r="B665" t="str">
            <v>TV GERAL 2</v>
          </cell>
          <cell r="C665" t="str">
            <v>Tabela de Valores Quadro Geral em Extinção - Lei 14.234/13</v>
          </cell>
          <cell r="D665" t="str">
            <v>40H</v>
          </cell>
          <cell r="E665">
            <v>41699</v>
          </cell>
          <cell r="G665" t="str">
            <v>02</v>
          </cell>
          <cell r="H665" t="str">
            <v>Padrão 01 - Nív II</v>
          </cell>
          <cell r="I665" t="str">
            <v>Básico</v>
          </cell>
          <cell r="J665">
            <v>466.26</v>
          </cell>
          <cell r="K665" t="str">
            <v>Parc Aut Especial</v>
          </cell>
          <cell r="L665">
            <v>471.5</v>
          </cell>
          <cell r="M665" t="str">
            <v>Sus</v>
          </cell>
          <cell r="N665">
            <v>8.5</v>
          </cell>
          <cell r="O665" t="str">
            <v>Pepa</v>
          </cell>
          <cell r="P665">
            <v>84.1</v>
          </cell>
        </row>
        <row r="666">
          <cell r="A666" t="str">
            <v>TV GERAL 2 03 40H</v>
          </cell>
          <cell r="B666" t="str">
            <v>TV GERAL 2</v>
          </cell>
          <cell r="C666" t="str">
            <v>Tabela de Valores Quadro Geral em Extinção - Lei 14.234/13</v>
          </cell>
          <cell r="D666" t="str">
            <v>40H</v>
          </cell>
          <cell r="E666">
            <v>41699</v>
          </cell>
          <cell r="G666" t="str">
            <v>03</v>
          </cell>
          <cell r="H666" t="str">
            <v>Padrão 02 - Nív I</v>
          </cell>
          <cell r="I666" t="str">
            <v>Básico</v>
          </cell>
          <cell r="J666">
            <v>466.26</v>
          </cell>
          <cell r="K666" t="str">
            <v>Parc Aut Especial</v>
          </cell>
          <cell r="L666">
            <v>460</v>
          </cell>
          <cell r="M666" t="str">
            <v>Sus</v>
          </cell>
          <cell r="N666">
            <v>8.5</v>
          </cell>
          <cell r="O666" t="str">
            <v>Pepa</v>
          </cell>
          <cell r="P666">
            <v>84.1</v>
          </cell>
        </row>
        <row r="667">
          <cell r="A667" t="str">
            <v>TV GERAL 2 04 40H</v>
          </cell>
          <cell r="B667" t="str">
            <v>TV GERAL 2</v>
          </cell>
          <cell r="C667" t="str">
            <v>Tabela de Valores Quadro Geral em Extinção - Lei 14.234/13</v>
          </cell>
          <cell r="D667" t="str">
            <v>40H</v>
          </cell>
          <cell r="E667">
            <v>41699</v>
          </cell>
          <cell r="G667" t="str">
            <v>04</v>
          </cell>
          <cell r="H667" t="str">
            <v>Padrão 02 - Nív II</v>
          </cell>
          <cell r="I667" t="str">
            <v>Básico</v>
          </cell>
          <cell r="J667">
            <v>489.58</v>
          </cell>
          <cell r="K667" t="str">
            <v>Parc Aut Especial</v>
          </cell>
          <cell r="L667">
            <v>460</v>
          </cell>
          <cell r="M667" t="str">
            <v>Sus</v>
          </cell>
          <cell r="N667">
            <v>8.5</v>
          </cell>
          <cell r="O667" t="str">
            <v>Pepa</v>
          </cell>
          <cell r="P667">
            <v>84.1</v>
          </cell>
        </row>
        <row r="668">
          <cell r="A668" t="str">
            <v>TV GERAL 2 05 40H</v>
          </cell>
          <cell r="B668" t="str">
            <v>TV GERAL 2</v>
          </cell>
          <cell r="C668" t="str">
            <v>Tabela de Valores Quadro Geral em Extinção - Lei 14.234/13</v>
          </cell>
          <cell r="D668" t="str">
            <v>40H</v>
          </cell>
          <cell r="E668">
            <v>41699</v>
          </cell>
          <cell r="G668" t="str">
            <v>05</v>
          </cell>
          <cell r="H668" t="str">
            <v>Padrão 03 - Nív I</v>
          </cell>
          <cell r="I668" t="str">
            <v>Básico</v>
          </cell>
          <cell r="J668">
            <v>489.58</v>
          </cell>
          <cell r="K668" t="str">
            <v>Parc Aut Especial</v>
          </cell>
          <cell r="L668">
            <v>448.5</v>
          </cell>
          <cell r="M668" t="str">
            <v>Sus</v>
          </cell>
          <cell r="N668">
            <v>8.5</v>
          </cell>
          <cell r="O668" t="str">
            <v>Pepa</v>
          </cell>
          <cell r="P668">
            <v>84.1</v>
          </cell>
        </row>
        <row r="669">
          <cell r="A669" t="str">
            <v>TV GERAL 2 06 40H</v>
          </cell>
          <cell r="B669" t="str">
            <v>TV GERAL 2</v>
          </cell>
          <cell r="C669" t="str">
            <v>Tabela de Valores Quadro Geral em Extinção - Lei 14.234/13</v>
          </cell>
          <cell r="D669" t="str">
            <v>40H</v>
          </cell>
          <cell r="E669">
            <v>41699</v>
          </cell>
          <cell r="G669" t="str">
            <v>06</v>
          </cell>
          <cell r="H669" t="str">
            <v>Padrão 03 - Nív II</v>
          </cell>
          <cell r="I669" t="str">
            <v>Básico</v>
          </cell>
          <cell r="J669">
            <v>514.05</v>
          </cell>
          <cell r="K669" t="str">
            <v>Parc Aut Especial</v>
          </cell>
          <cell r="L669">
            <v>448.5</v>
          </cell>
          <cell r="M669" t="str">
            <v>Sus</v>
          </cell>
          <cell r="N669">
            <v>8.5</v>
          </cell>
          <cell r="O669" t="str">
            <v>Pepa</v>
          </cell>
          <cell r="P669">
            <v>84.1</v>
          </cell>
        </row>
        <row r="670">
          <cell r="A670" t="str">
            <v>TV GERAL 2 07 40H</v>
          </cell>
          <cell r="B670" t="str">
            <v>TV GERAL 2</v>
          </cell>
          <cell r="C670" t="str">
            <v>Tabela de Valores Quadro Geral em Extinção - Lei 14.234/13</v>
          </cell>
          <cell r="D670" t="str">
            <v>40H</v>
          </cell>
          <cell r="E670">
            <v>41699</v>
          </cell>
          <cell r="G670" t="str">
            <v>07</v>
          </cell>
          <cell r="H670" t="str">
            <v>Padrão 04 - Nív I</v>
          </cell>
          <cell r="I670" t="str">
            <v>Básico</v>
          </cell>
          <cell r="J670">
            <v>514.05</v>
          </cell>
          <cell r="K670" t="str">
            <v>Parc Aut Especial</v>
          </cell>
          <cell r="L670">
            <v>437</v>
          </cell>
          <cell r="M670" t="str">
            <v>Sus</v>
          </cell>
          <cell r="N670">
            <v>8.5</v>
          </cell>
          <cell r="O670" t="str">
            <v>Pepa</v>
          </cell>
          <cell r="P670">
            <v>84.1</v>
          </cell>
        </row>
        <row r="671">
          <cell r="A671" t="str">
            <v>TV GERAL 2 08 40H</v>
          </cell>
          <cell r="B671" t="str">
            <v>TV GERAL 2</v>
          </cell>
          <cell r="C671" t="str">
            <v>Tabela de Valores Quadro Geral em Extinção - Lei 14.234/13</v>
          </cell>
          <cell r="D671" t="str">
            <v>40H</v>
          </cell>
          <cell r="E671">
            <v>41699</v>
          </cell>
          <cell r="G671" t="str">
            <v>08</v>
          </cell>
          <cell r="H671" t="str">
            <v>Padrão 04 - Nív II</v>
          </cell>
          <cell r="I671" t="str">
            <v>Básico</v>
          </cell>
          <cell r="J671">
            <v>539.76</v>
          </cell>
          <cell r="K671" t="str">
            <v>Parc Aut Especial</v>
          </cell>
          <cell r="L671">
            <v>437</v>
          </cell>
          <cell r="M671" t="str">
            <v>Sus</v>
          </cell>
          <cell r="N671">
            <v>10.1</v>
          </cell>
          <cell r="O671" t="str">
            <v>Pepa</v>
          </cell>
          <cell r="P671">
            <v>84.1</v>
          </cell>
        </row>
        <row r="672">
          <cell r="A672" t="str">
            <v>TV GERAL 2 09 40H</v>
          </cell>
          <cell r="B672" t="str">
            <v>TV GERAL 2</v>
          </cell>
          <cell r="C672" t="str">
            <v>Tabela de Valores Quadro Geral em Extinção - Lei 14.234/13</v>
          </cell>
          <cell r="D672" t="str">
            <v>40H</v>
          </cell>
          <cell r="E672">
            <v>41699</v>
          </cell>
          <cell r="G672" t="str">
            <v>09</v>
          </cell>
          <cell r="H672" t="str">
            <v>Padrão 05 - Nív I</v>
          </cell>
          <cell r="I672" t="str">
            <v>Básico</v>
          </cell>
          <cell r="J672">
            <v>539.76</v>
          </cell>
          <cell r="K672" t="str">
            <v>Parc Aut Especial</v>
          </cell>
          <cell r="L672">
            <v>425.5</v>
          </cell>
          <cell r="M672" t="str">
            <v>Sus</v>
          </cell>
          <cell r="N672">
            <v>10.1</v>
          </cell>
          <cell r="O672" t="str">
            <v>Pepa</v>
          </cell>
          <cell r="P672">
            <v>84.1</v>
          </cell>
        </row>
        <row r="673">
          <cell r="A673" t="str">
            <v>TV GERAL 2 10 40H</v>
          </cell>
          <cell r="B673" t="str">
            <v>TV GERAL 2</v>
          </cell>
          <cell r="C673" t="str">
            <v>Tabela de Valores Quadro Geral em Extinção - Lei 14.234/13</v>
          </cell>
          <cell r="D673" t="str">
            <v>40H</v>
          </cell>
          <cell r="E673">
            <v>41699</v>
          </cell>
          <cell r="G673" t="str">
            <v>10</v>
          </cell>
          <cell r="H673" t="str">
            <v>Padrão 05 - Nív II</v>
          </cell>
          <cell r="I673" t="str">
            <v>Básico</v>
          </cell>
          <cell r="J673">
            <v>566.75</v>
          </cell>
          <cell r="K673" t="str">
            <v>Parc Aut Especial</v>
          </cell>
          <cell r="L673">
            <v>425.5</v>
          </cell>
          <cell r="M673" t="str">
            <v>Sus</v>
          </cell>
          <cell r="N673">
            <v>10.1</v>
          </cell>
          <cell r="O673" t="str">
            <v>Pepa</v>
          </cell>
          <cell r="P673">
            <v>84.1</v>
          </cell>
        </row>
        <row r="674">
          <cell r="A674" t="str">
            <v>TV GERAL 2 11 40H</v>
          </cell>
          <cell r="B674" t="str">
            <v>TV GERAL 2</v>
          </cell>
          <cell r="C674" t="str">
            <v>Tabela de Valores Quadro Geral em Extinção - Lei 14.234/13</v>
          </cell>
          <cell r="D674" t="str">
            <v>40H</v>
          </cell>
          <cell r="E674">
            <v>41699</v>
          </cell>
          <cell r="G674" t="str">
            <v>11</v>
          </cell>
          <cell r="H674" t="str">
            <v>Padrão 06 - Nív I</v>
          </cell>
          <cell r="I674" t="str">
            <v>Básico</v>
          </cell>
          <cell r="J674">
            <v>566.75</v>
          </cell>
          <cell r="K674" t="str">
            <v>Parc Aut Especial</v>
          </cell>
          <cell r="L674">
            <v>414</v>
          </cell>
          <cell r="M674" t="str">
            <v>Sus</v>
          </cell>
          <cell r="N674">
            <v>10.1</v>
          </cell>
          <cell r="O674" t="str">
            <v>Pepa</v>
          </cell>
          <cell r="P674">
            <v>139.5</v>
          </cell>
        </row>
        <row r="675">
          <cell r="A675" t="str">
            <v>TV GERAL 2 12 40H</v>
          </cell>
          <cell r="B675" t="str">
            <v>TV GERAL 2</v>
          </cell>
          <cell r="C675" t="str">
            <v>Tabela de Valores Quadro Geral em Extinção - Lei 14.234/13</v>
          </cell>
          <cell r="D675" t="str">
            <v>40H</v>
          </cell>
          <cell r="E675">
            <v>41699</v>
          </cell>
          <cell r="G675" t="str">
            <v>12</v>
          </cell>
          <cell r="H675" t="str">
            <v>Padrão 06 - Nív II</v>
          </cell>
          <cell r="I675" t="str">
            <v>Básico</v>
          </cell>
          <cell r="J675">
            <v>595.08</v>
          </cell>
          <cell r="K675" t="str">
            <v>Parc Aut Especial</v>
          </cell>
          <cell r="L675">
            <v>414</v>
          </cell>
          <cell r="M675" t="str">
            <v>Sus</v>
          </cell>
          <cell r="N675">
            <v>10.1</v>
          </cell>
          <cell r="O675" t="str">
            <v>Pepa</v>
          </cell>
          <cell r="P675">
            <v>139.5</v>
          </cell>
        </row>
        <row r="676">
          <cell r="A676" t="str">
            <v>TV GERAL 2 13 40H</v>
          </cell>
          <cell r="B676" t="str">
            <v>TV GERAL 2</v>
          </cell>
          <cell r="C676" t="str">
            <v>Tabela de Valores Quadro Geral em Extinção - Lei 14.234/13</v>
          </cell>
          <cell r="D676" t="str">
            <v>40H</v>
          </cell>
          <cell r="E676">
            <v>41699</v>
          </cell>
          <cell r="G676" t="str">
            <v>13</v>
          </cell>
          <cell r="H676" t="str">
            <v>Padrão 07 - Nív I</v>
          </cell>
          <cell r="I676" t="str">
            <v>Básico</v>
          </cell>
          <cell r="J676">
            <v>595.08</v>
          </cell>
          <cell r="K676" t="str">
            <v>Parc Aut Especial</v>
          </cell>
          <cell r="L676">
            <v>402.5</v>
          </cell>
          <cell r="M676" t="str">
            <v>Sus</v>
          </cell>
          <cell r="N676">
            <v>10.1</v>
          </cell>
          <cell r="O676" t="str">
            <v>Pepa</v>
          </cell>
          <cell r="P676">
            <v>139.5</v>
          </cell>
        </row>
        <row r="677">
          <cell r="A677" t="str">
            <v>TV GERAL 2 14 40H</v>
          </cell>
          <cell r="B677" t="str">
            <v>TV GERAL 2</v>
          </cell>
          <cell r="C677" t="str">
            <v>Tabela de Valores Quadro Geral em Extinção - Lei 14.234/13</v>
          </cell>
          <cell r="D677" t="str">
            <v>40H</v>
          </cell>
          <cell r="E677">
            <v>41699</v>
          </cell>
          <cell r="G677" t="str">
            <v>14</v>
          </cell>
          <cell r="H677" t="str">
            <v>Padrão 07 - Nív II</v>
          </cell>
          <cell r="I677" t="str">
            <v>Básico</v>
          </cell>
          <cell r="J677">
            <v>624.84</v>
          </cell>
          <cell r="K677" t="str">
            <v>Parc Aut Especial</v>
          </cell>
          <cell r="L677">
            <v>402.5</v>
          </cell>
          <cell r="M677" t="str">
            <v>Sus</v>
          </cell>
          <cell r="N677">
            <v>10.1</v>
          </cell>
          <cell r="O677" t="str">
            <v>Pepa</v>
          </cell>
          <cell r="P677">
            <v>139.5</v>
          </cell>
        </row>
        <row r="678">
          <cell r="A678" t="str">
            <v>TV GERAL 2 15 40H</v>
          </cell>
          <cell r="B678" t="str">
            <v>TV GERAL 2</v>
          </cell>
          <cell r="C678" t="str">
            <v>Tabela de Valores Quadro Geral em Extinção - Lei 14.234/13</v>
          </cell>
          <cell r="D678" t="str">
            <v>40H</v>
          </cell>
          <cell r="E678">
            <v>41699</v>
          </cell>
          <cell r="G678" t="str">
            <v>15</v>
          </cell>
          <cell r="H678" t="str">
            <v>Padrão 08 - Nív I</v>
          </cell>
          <cell r="I678" t="str">
            <v>Básico</v>
          </cell>
          <cell r="J678">
            <v>624.84</v>
          </cell>
          <cell r="K678" t="str">
            <v>Parc Aut Especial</v>
          </cell>
          <cell r="L678">
            <v>391</v>
          </cell>
          <cell r="M678" t="str">
            <v>Sus</v>
          </cell>
          <cell r="N678">
            <v>10.1</v>
          </cell>
          <cell r="O678" t="str">
            <v>Pepa</v>
          </cell>
          <cell r="P678">
            <v>139.5</v>
          </cell>
        </row>
        <row r="679">
          <cell r="A679" t="str">
            <v>TV GERAL 2 16 40H</v>
          </cell>
          <cell r="B679" t="str">
            <v>TV GERAL 2</v>
          </cell>
          <cell r="C679" t="str">
            <v>Tabela de Valores Quadro Geral em Extinção - Lei 14.234/13</v>
          </cell>
          <cell r="D679" t="str">
            <v>40H</v>
          </cell>
          <cell r="E679">
            <v>41699</v>
          </cell>
          <cell r="G679" t="str">
            <v>16</v>
          </cell>
          <cell r="H679" t="str">
            <v>Padrão 08 - Nív II</v>
          </cell>
          <cell r="I679" t="str">
            <v>Básico</v>
          </cell>
          <cell r="J679">
            <v>656.08</v>
          </cell>
          <cell r="K679" t="str">
            <v>Parc Aut Especial</v>
          </cell>
          <cell r="L679">
            <v>391</v>
          </cell>
          <cell r="M679" t="str">
            <v>Sus</v>
          </cell>
          <cell r="N679">
            <v>10.1</v>
          </cell>
          <cell r="O679" t="str">
            <v>Pepa</v>
          </cell>
          <cell r="P679">
            <v>139.5</v>
          </cell>
        </row>
        <row r="680">
          <cell r="A680" t="str">
            <v>TV GERAL 2 17 40H</v>
          </cell>
          <cell r="B680" t="str">
            <v>TV GERAL 2</v>
          </cell>
          <cell r="C680" t="str">
            <v>Tabela de Valores Quadro Geral em Extinção - Lei 14.234/13</v>
          </cell>
          <cell r="D680" t="str">
            <v>40H</v>
          </cell>
          <cell r="E680">
            <v>41699</v>
          </cell>
          <cell r="G680" t="str">
            <v>17</v>
          </cell>
          <cell r="H680" t="str">
            <v>Padrão 09 - Nív I</v>
          </cell>
          <cell r="I680" t="str">
            <v>Básico</v>
          </cell>
          <cell r="J680">
            <v>656.08</v>
          </cell>
          <cell r="K680" t="str">
            <v>Parc Aut Especial</v>
          </cell>
          <cell r="L680">
            <v>368</v>
          </cell>
          <cell r="M680" t="str">
            <v>Sus</v>
          </cell>
          <cell r="N680">
            <v>11.6</v>
          </cell>
          <cell r="O680" t="str">
            <v>Pepa</v>
          </cell>
          <cell r="P680">
            <v>139.5</v>
          </cell>
        </row>
        <row r="681">
          <cell r="A681" t="str">
            <v>TV GERAL 2 18 40H</v>
          </cell>
          <cell r="B681" t="str">
            <v>TV GERAL 2</v>
          </cell>
          <cell r="C681" t="str">
            <v>Tabela de Valores Quadro Geral em Extinção - Lei 14.234/13</v>
          </cell>
          <cell r="D681" t="str">
            <v>40H</v>
          </cell>
          <cell r="E681">
            <v>41699</v>
          </cell>
          <cell r="G681" t="str">
            <v>18</v>
          </cell>
          <cell r="H681" t="str">
            <v>Padrão 09 - Nív II</v>
          </cell>
          <cell r="I681" t="str">
            <v>Básico</v>
          </cell>
          <cell r="J681">
            <v>688.88</v>
          </cell>
          <cell r="K681" t="str">
            <v>Parc Aut Especial</v>
          </cell>
          <cell r="L681">
            <v>368</v>
          </cell>
          <cell r="M681" t="str">
            <v>Sus</v>
          </cell>
          <cell r="N681">
            <v>11.6</v>
          </cell>
          <cell r="O681" t="str">
            <v>Pepa</v>
          </cell>
          <cell r="P681">
            <v>139.5</v>
          </cell>
        </row>
        <row r="682">
          <cell r="A682" t="str">
            <v>TV GERAL 2 19 40H</v>
          </cell>
          <cell r="B682" t="str">
            <v>TV GERAL 2</v>
          </cell>
          <cell r="C682" t="str">
            <v>Tabela de Valores Quadro Geral em Extinção - Lei 14.234/13</v>
          </cell>
          <cell r="D682" t="str">
            <v>40H</v>
          </cell>
          <cell r="E682">
            <v>41699</v>
          </cell>
          <cell r="G682" t="str">
            <v>19</v>
          </cell>
          <cell r="H682" t="str">
            <v>Padrão 10 - Nív I</v>
          </cell>
          <cell r="I682" t="str">
            <v>Básico</v>
          </cell>
          <cell r="J682">
            <v>688.88</v>
          </cell>
          <cell r="K682" t="str">
            <v>Parc Aut Especial</v>
          </cell>
          <cell r="L682">
            <v>345</v>
          </cell>
          <cell r="M682" t="str">
            <v>Sus</v>
          </cell>
          <cell r="N682">
            <v>11.6</v>
          </cell>
          <cell r="O682" t="str">
            <v>Pepa</v>
          </cell>
          <cell r="P682">
            <v>139.5</v>
          </cell>
        </row>
        <row r="683">
          <cell r="A683" t="str">
            <v>TV GERAL 2 20 40H</v>
          </cell>
          <cell r="B683" t="str">
            <v>TV GERAL 2</v>
          </cell>
          <cell r="C683" t="str">
            <v>Tabela de Valores Quadro Geral em Extinção - Lei 14.234/13</v>
          </cell>
          <cell r="D683" t="str">
            <v>40H</v>
          </cell>
          <cell r="E683">
            <v>41699</v>
          </cell>
          <cell r="G683" t="str">
            <v>20</v>
          </cell>
          <cell r="H683" t="str">
            <v>Padrão 10 - Nív II</v>
          </cell>
          <cell r="I683" t="str">
            <v>Básico</v>
          </cell>
          <cell r="J683">
            <v>723.33</v>
          </cell>
          <cell r="K683" t="str">
            <v>Parc Aut Especial</v>
          </cell>
          <cell r="L683">
            <v>345</v>
          </cell>
          <cell r="M683" t="str">
            <v>Sus</v>
          </cell>
          <cell r="N683">
            <v>11.6</v>
          </cell>
          <cell r="O683" t="str">
            <v>Pepa</v>
          </cell>
          <cell r="P683">
            <v>139.5</v>
          </cell>
        </row>
        <row r="684">
          <cell r="A684" t="str">
            <v>TV GERAL 2 21 40H</v>
          </cell>
          <cell r="B684" t="str">
            <v>TV GERAL 2</v>
          </cell>
          <cell r="C684" t="str">
            <v>Tabela de Valores Quadro Geral em Extinção - Lei 14.234/13</v>
          </cell>
          <cell r="D684" t="str">
            <v>40H</v>
          </cell>
          <cell r="E684">
            <v>41699</v>
          </cell>
          <cell r="G684" t="str">
            <v>21</v>
          </cell>
          <cell r="H684" t="str">
            <v>Padrão 11 - Nív I</v>
          </cell>
          <cell r="I684" t="str">
            <v>Básico</v>
          </cell>
          <cell r="J684">
            <v>723.33</v>
          </cell>
          <cell r="K684" t="str">
            <v>Parc Aut Especial</v>
          </cell>
          <cell r="L684">
            <v>322</v>
          </cell>
          <cell r="M684" t="str">
            <v>Sus</v>
          </cell>
          <cell r="N684">
            <v>11.6</v>
          </cell>
          <cell r="O684" t="str">
            <v>Pepa</v>
          </cell>
          <cell r="P684">
            <v>251.8</v>
          </cell>
        </row>
        <row r="685">
          <cell r="A685" t="str">
            <v>TV GERAL 2 22 40H</v>
          </cell>
          <cell r="B685" t="str">
            <v>TV GERAL 2</v>
          </cell>
          <cell r="C685" t="str">
            <v>Tabela de Valores Quadro Geral em Extinção - Lei 14.234/13</v>
          </cell>
          <cell r="D685" t="str">
            <v>40H</v>
          </cell>
          <cell r="E685">
            <v>41699</v>
          </cell>
          <cell r="G685" t="str">
            <v>22</v>
          </cell>
          <cell r="H685" t="str">
            <v>Padrão 11 - Nív II</v>
          </cell>
          <cell r="I685" t="str">
            <v>Básico</v>
          </cell>
          <cell r="J685">
            <v>759.49</v>
          </cell>
          <cell r="K685" t="str">
            <v>Parc Aut Especial</v>
          </cell>
          <cell r="L685">
            <v>322</v>
          </cell>
          <cell r="M685" t="str">
            <v>Sus</v>
          </cell>
          <cell r="N685">
            <v>11.6</v>
          </cell>
          <cell r="O685" t="str">
            <v>Pepa</v>
          </cell>
          <cell r="P685">
            <v>251.8</v>
          </cell>
        </row>
        <row r="686">
          <cell r="A686" t="str">
            <v>TV GERAL 2 23 40H</v>
          </cell>
          <cell r="B686" t="str">
            <v>TV GERAL 2</v>
          </cell>
          <cell r="C686" t="str">
            <v>Tabela de Valores Quadro Geral em Extinção - Lei 14.234/13</v>
          </cell>
          <cell r="D686" t="str">
            <v>40H</v>
          </cell>
          <cell r="E686">
            <v>41699</v>
          </cell>
          <cell r="G686" t="str">
            <v>23</v>
          </cell>
          <cell r="H686" t="str">
            <v>Padrão 12 - Nív I</v>
          </cell>
          <cell r="I686" t="str">
            <v>Básico</v>
          </cell>
          <cell r="J686">
            <v>759.49</v>
          </cell>
          <cell r="K686" t="str">
            <v>Parc Aut Especial</v>
          </cell>
          <cell r="L686">
            <v>299</v>
          </cell>
          <cell r="M686" t="str">
            <v>Sus</v>
          </cell>
          <cell r="N686">
            <v>11.6</v>
          </cell>
          <cell r="O686" t="str">
            <v>Pepa</v>
          </cell>
          <cell r="P686">
            <v>251.8</v>
          </cell>
        </row>
        <row r="687">
          <cell r="A687" t="str">
            <v>TV GERAL 2 24 40H</v>
          </cell>
          <cell r="B687" t="str">
            <v>TV GERAL 2</v>
          </cell>
          <cell r="C687" t="str">
            <v>Tabela de Valores Quadro Geral em Extinção - Lei 14.234/13</v>
          </cell>
          <cell r="D687" t="str">
            <v>40H</v>
          </cell>
          <cell r="E687">
            <v>41699</v>
          </cell>
          <cell r="G687" t="str">
            <v>24</v>
          </cell>
          <cell r="H687" t="str">
            <v>Padrão 12 - Nív II</v>
          </cell>
          <cell r="I687" t="str">
            <v>Básico</v>
          </cell>
          <cell r="J687">
            <v>797.47</v>
          </cell>
          <cell r="K687" t="str">
            <v>Parc Aut Especial</v>
          </cell>
          <cell r="L687">
            <v>299</v>
          </cell>
          <cell r="M687" t="str">
            <v>Sus</v>
          </cell>
          <cell r="N687">
            <v>11.6</v>
          </cell>
          <cell r="O687" t="str">
            <v>Pepa</v>
          </cell>
          <cell r="P687">
            <v>251.8</v>
          </cell>
        </row>
        <row r="688">
          <cell r="A688" t="str">
            <v>TV GERAL 2 25 40H</v>
          </cell>
          <cell r="B688" t="str">
            <v>TV GERAL 2</v>
          </cell>
          <cell r="C688" t="str">
            <v>Tabela de Valores Quadro Geral em Extinção - Lei 14.234/13</v>
          </cell>
          <cell r="D688" t="str">
            <v>40H</v>
          </cell>
          <cell r="E688">
            <v>41699</v>
          </cell>
          <cell r="G688" t="str">
            <v>25</v>
          </cell>
          <cell r="H688" t="str">
            <v>Padrão 13 - Nív I</v>
          </cell>
          <cell r="I688" t="str">
            <v>Básico</v>
          </cell>
          <cell r="J688">
            <v>962.81</v>
          </cell>
          <cell r="K688" t="str">
            <v>Parc Aut Especial</v>
          </cell>
          <cell r="L688">
            <v>280</v>
          </cell>
          <cell r="M688" t="str">
            <v>Sus</v>
          </cell>
          <cell r="N688">
            <v>13.4</v>
          </cell>
          <cell r="O688" t="str">
            <v>Pepa</v>
          </cell>
          <cell r="P688">
            <v>376.1</v>
          </cell>
        </row>
        <row r="689">
          <cell r="A689" t="str">
            <v>TV GERAL 2 26 40H</v>
          </cell>
          <cell r="B689" t="str">
            <v>TV GERAL 2</v>
          </cell>
          <cell r="C689" t="str">
            <v>Tabela de Valores Quadro Geral em Extinção - Lei 14.234/13</v>
          </cell>
          <cell r="D689" t="str">
            <v>40H</v>
          </cell>
          <cell r="E689">
            <v>41699</v>
          </cell>
          <cell r="G689" t="str">
            <v>26</v>
          </cell>
          <cell r="H689" t="str">
            <v>Padrão 13 - Nív II</v>
          </cell>
          <cell r="I689" t="str">
            <v>Básico</v>
          </cell>
          <cell r="J689">
            <v>1010.95</v>
          </cell>
          <cell r="K689" t="str">
            <v>Parc Aut Especial</v>
          </cell>
          <cell r="L689">
            <v>280</v>
          </cell>
          <cell r="M689" t="str">
            <v>Sus</v>
          </cell>
          <cell r="N689">
            <v>13.4</v>
          </cell>
          <cell r="O689" t="str">
            <v>Pepa</v>
          </cell>
          <cell r="P689">
            <v>376.1</v>
          </cell>
        </row>
        <row r="690">
          <cell r="A690" t="str">
            <v>TV GERAL 2 27 40H</v>
          </cell>
          <cell r="B690" t="str">
            <v>TV GERAL 2</v>
          </cell>
          <cell r="C690" t="str">
            <v>Tabela de Valores Quadro Geral em Extinção - Lei 14.234/13</v>
          </cell>
          <cell r="D690" t="str">
            <v>40H</v>
          </cell>
          <cell r="E690">
            <v>41699</v>
          </cell>
          <cell r="G690" t="str">
            <v>27</v>
          </cell>
          <cell r="H690" t="str">
            <v>Padrão 14 - Nív I</v>
          </cell>
          <cell r="I690" t="str">
            <v>Básico</v>
          </cell>
          <cell r="J690">
            <v>1010.95</v>
          </cell>
          <cell r="K690" t="str">
            <v>Parc Aut Especial</v>
          </cell>
          <cell r="L690">
            <v>280</v>
          </cell>
          <cell r="M690" t="str">
            <v>Sus</v>
          </cell>
          <cell r="N690">
            <v>13.4</v>
          </cell>
          <cell r="O690" t="str">
            <v>Pepa</v>
          </cell>
          <cell r="P690">
            <v>376.1</v>
          </cell>
        </row>
        <row r="691">
          <cell r="A691" t="str">
            <v>TV GERAL 2 28 40H</v>
          </cell>
          <cell r="B691" t="str">
            <v>TV GERAL 2</v>
          </cell>
          <cell r="C691" t="str">
            <v>Tabela de Valores Quadro Geral em Extinção - Lei 14.234/13</v>
          </cell>
          <cell r="D691" t="str">
            <v>40H</v>
          </cell>
          <cell r="E691">
            <v>41699</v>
          </cell>
          <cell r="G691" t="str">
            <v>28</v>
          </cell>
          <cell r="H691" t="str">
            <v>Padrão 14 - Nív II</v>
          </cell>
          <cell r="I691" t="str">
            <v>Básico</v>
          </cell>
          <cell r="J691">
            <v>1061.5</v>
          </cell>
          <cell r="K691" t="str">
            <v>Parc Aut Especial</v>
          </cell>
          <cell r="L691">
            <v>280</v>
          </cell>
          <cell r="M691" t="str">
            <v>Sus</v>
          </cell>
          <cell r="N691">
            <v>13.4</v>
          </cell>
          <cell r="O691" t="str">
            <v>Pepa</v>
          </cell>
          <cell r="P691">
            <v>376.1</v>
          </cell>
        </row>
        <row r="692">
          <cell r="A692" t="str">
            <v>TV GERAL 2 29 40H</v>
          </cell>
          <cell r="B692" t="str">
            <v>TV GERAL 2</v>
          </cell>
          <cell r="C692" t="str">
            <v>Tabela de Valores Quadro Geral em Extinção - Lei 14.234/13</v>
          </cell>
          <cell r="D692" t="str">
            <v>40H</v>
          </cell>
          <cell r="E692">
            <v>41699</v>
          </cell>
          <cell r="G692" t="str">
            <v>29</v>
          </cell>
          <cell r="H692" t="str">
            <v>Padrão 15 - Nív I</v>
          </cell>
          <cell r="I692" t="str">
            <v>Básico</v>
          </cell>
          <cell r="J692">
            <v>1061.5</v>
          </cell>
          <cell r="K692" t="str">
            <v>Parc Aut Especial</v>
          </cell>
          <cell r="L692">
            <v>270</v>
          </cell>
          <cell r="M692" t="str">
            <v>Sus</v>
          </cell>
          <cell r="N692">
            <v>13.4</v>
          </cell>
          <cell r="O692" t="str">
            <v>Pepa</v>
          </cell>
          <cell r="P692">
            <v>543.8</v>
          </cell>
        </row>
        <row r="693">
          <cell r="A693" t="str">
            <v>TV GERAL 2 30 40H</v>
          </cell>
          <cell r="B693" t="str">
            <v>TV GERAL 2</v>
          </cell>
          <cell r="C693" t="str">
            <v>Tabela de Valores Quadro Geral em Extinção - Lei 14.234/13</v>
          </cell>
          <cell r="D693" t="str">
            <v>40H</v>
          </cell>
          <cell r="E693">
            <v>41699</v>
          </cell>
          <cell r="G693" t="str">
            <v>30</v>
          </cell>
          <cell r="H693" t="str">
            <v>Padrão 15 - Nív II</v>
          </cell>
          <cell r="I693" t="str">
            <v>Básico</v>
          </cell>
          <cell r="J693">
            <v>1114.57</v>
          </cell>
          <cell r="K693" t="str">
            <v>Parc Aut Especial</v>
          </cell>
          <cell r="L693">
            <v>270</v>
          </cell>
          <cell r="M693" t="str">
            <v>Sus</v>
          </cell>
          <cell r="N693">
            <v>13.4</v>
          </cell>
          <cell r="O693" t="str">
            <v>Pepa</v>
          </cell>
          <cell r="P693">
            <v>543.8</v>
          </cell>
        </row>
        <row r="694">
          <cell r="A694" t="str">
            <v>TV GERAL 2 31 40H</v>
          </cell>
          <cell r="B694" t="str">
            <v>TV GERAL 2</v>
          </cell>
          <cell r="C694" t="str">
            <v>Tabela de Valores Quadro Geral em Extinção - Lei 14.234/13</v>
          </cell>
          <cell r="D694" t="str">
            <v>40H</v>
          </cell>
          <cell r="E694">
            <v>41699</v>
          </cell>
          <cell r="G694" t="str">
            <v>31</v>
          </cell>
          <cell r="H694" t="str">
            <v>Padrão 16 - Nív I</v>
          </cell>
          <cell r="I694" t="str">
            <v>Básico</v>
          </cell>
          <cell r="J694">
            <v>1114.57</v>
          </cell>
          <cell r="K694" t="str">
            <v>Parc Aut Especial</v>
          </cell>
          <cell r="L694">
            <v>270</v>
          </cell>
          <cell r="M694" t="str">
            <v>Sus</v>
          </cell>
          <cell r="N694">
            <v>13.4</v>
          </cell>
          <cell r="O694" t="str">
            <v>Pepa</v>
          </cell>
          <cell r="P694">
            <v>543.8</v>
          </cell>
        </row>
        <row r="695">
          <cell r="A695" t="str">
            <v>TV GERAL 2 32 40H</v>
          </cell>
          <cell r="B695" t="str">
            <v>TV GERAL 2</v>
          </cell>
          <cell r="C695" t="str">
            <v>Tabela de Valores Quadro Geral em Extinção - Lei 14.234/13</v>
          </cell>
          <cell r="D695" t="str">
            <v>40H</v>
          </cell>
          <cell r="E695">
            <v>41699</v>
          </cell>
          <cell r="G695" t="str">
            <v>32</v>
          </cell>
          <cell r="H695" t="str">
            <v>Padrão 16 - Nív II</v>
          </cell>
          <cell r="I695" t="str">
            <v>Básico</v>
          </cell>
          <cell r="J695">
            <v>1170.3</v>
          </cell>
          <cell r="K695" t="str">
            <v>Parc Aut Especial</v>
          </cell>
          <cell r="L695">
            <v>270</v>
          </cell>
          <cell r="M695" t="str">
            <v>Sus</v>
          </cell>
          <cell r="N695">
            <v>13.4</v>
          </cell>
          <cell r="O695" t="str">
            <v>Pepa</v>
          </cell>
          <cell r="P695">
            <v>543.8</v>
          </cell>
        </row>
        <row r="696">
          <cell r="A696" t="str">
            <v>TV GERAL 2 33 40H</v>
          </cell>
          <cell r="B696" t="str">
            <v>TV GERAL 2</v>
          </cell>
          <cell r="C696" t="str">
            <v>Tabela de Valores Quadro Geral em Extinção - Lei 14.234/13</v>
          </cell>
          <cell r="D696" t="str">
            <v>40H</v>
          </cell>
          <cell r="E696">
            <v>41699</v>
          </cell>
          <cell r="G696" t="str">
            <v>33</v>
          </cell>
          <cell r="H696" t="str">
            <v>Padrão 17 - Nív I</v>
          </cell>
          <cell r="I696" t="str">
            <v>Básico</v>
          </cell>
          <cell r="J696">
            <v>1170.3</v>
          </cell>
          <cell r="K696" t="str">
            <v>Parc Aut Especial</v>
          </cell>
          <cell r="L696">
            <v>260</v>
          </cell>
          <cell r="M696" t="str">
            <v>Sus</v>
          </cell>
          <cell r="N696">
            <v>13.4</v>
          </cell>
          <cell r="O696" t="str">
            <v>Pepa</v>
          </cell>
          <cell r="P696">
            <v>543.8</v>
          </cell>
        </row>
        <row r="697">
          <cell r="A697" t="str">
            <v>TV GERAL 2 34 40H</v>
          </cell>
          <cell r="B697" t="str">
            <v>TV GERAL 2</v>
          </cell>
          <cell r="C697" t="str">
            <v>Tabela de Valores Quadro Geral em Extinção - Lei 14.234/13</v>
          </cell>
          <cell r="D697" t="str">
            <v>40H</v>
          </cell>
          <cell r="E697">
            <v>41699</v>
          </cell>
          <cell r="G697" t="str">
            <v>34</v>
          </cell>
          <cell r="H697" t="str">
            <v>Padrão 17 - Nív II</v>
          </cell>
          <cell r="I697" t="str">
            <v>Básico</v>
          </cell>
          <cell r="J697">
            <v>1228.82</v>
          </cell>
          <cell r="K697" t="str">
            <v>Parc Aut Especial</v>
          </cell>
          <cell r="L697">
            <v>260</v>
          </cell>
          <cell r="M697" t="str">
            <v>Sus</v>
          </cell>
          <cell r="N697">
            <v>13.4</v>
          </cell>
          <cell r="O697" t="str">
            <v>Pepa</v>
          </cell>
          <cell r="P697">
            <v>543.8</v>
          </cell>
        </row>
        <row r="698">
          <cell r="A698" t="str">
            <v>TV GERAL 2 35 40H</v>
          </cell>
          <cell r="B698" t="str">
            <v>TV GERAL 2</v>
          </cell>
          <cell r="C698" t="str">
            <v>Tabela de Valores Quadro Geral em Extinção - Lei 14.234/13</v>
          </cell>
          <cell r="D698" t="str">
            <v>40H</v>
          </cell>
          <cell r="E698">
            <v>41699</v>
          </cell>
          <cell r="G698" t="str">
            <v>35</v>
          </cell>
          <cell r="H698" t="str">
            <v>Padrão 18 - Nív I</v>
          </cell>
          <cell r="I698" t="str">
            <v>Básico</v>
          </cell>
          <cell r="J698">
            <v>1228.82</v>
          </cell>
          <cell r="K698" t="str">
            <v>Parc Aut Especial</v>
          </cell>
          <cell r="L698">
            <v>260</v>
          </cell>
          <cell r="M698" t="str">
            <v>Sus</v>
          </cell>
          <cell r="N698">
            <v>13.4</v>
          </cell>
          <cell r="O698" t="str">
            <v>Pepa</v>
          </cell>
          <cell r="P698">
            <v>543.8</v>
          </cell>
        </row>
        <row r="699">
          <cell r="A699" t="str">
            <v>TV GERAL 2 36 40H</v>
          </cell>
          <cell r="B699" t="str">
            <v>TV GERAL 2</v>
          </cell>
          <cell r="C699" t="str">
            <v>Tabela de Valores Quadro Geral em Extinção - Lei 14.234/13</v>
          </cell>
          <cell r="D699" t="str">
            <v>40H</v>
          </cell>
          <cell r="E699">
            <v>41699</v>
          </cell>
          <cell r="G699" t="str">
            <v>36</v>
          </cell>
          <cell r="H699" t="str">
            <v>Padrão 18 - Nív II</v>
          </cell>
          <cell r="I699" t="str">
            <v>Básico</v>
          </cell>
          <cell r="J699">
            <v>1290.26</v>
          </cell>
          <cell r="K699" t="str">
            <v>Parc Aut Especial</v>
          </cell>
          <cell r="L699">
            <v>260</v>
          </cell>
          <cell r="M699" t="str">
            <v>Sus</v>
          </cell>
          <cell r="N699">
            <v>13.4</v>
          </cell>
          <cell r="O699" t="str">
            <v>Pepa</v>
          </cell>
          <cell r="P699">
            <v>543.8</v>
          </cell>
        </row>
        <row r="700">
          <cell r="A700" t="str">
            <v>TV GIPPS 01 40H</v>
          </cell>
          <cell r="B700" t="str">
            <v>TV GIPPS</v>
          </cell>
          <cell r="C700" t="str">
            <v>Tabela de Valores da Gratif Incentivo a Prod e Pesq Saude</v>
          </cell>
          <cell r="D700" t="str">
            <v>40H</v>
          </cell>
          <cell r="E700">
            <v>39234</v>
          </cell>
          <cell r="G700" t="str">
            <v>01</v>
          </cell>
          <cell r="I700" t="str">
            <v>Valor</v>
          </cell>
          <cell r="J700">
            <v>536.6</v>
          </cell>
        </row>
        <row r="701">
          <cell r="A701" t="str">
            <v>TV GIPPS 02 40H</v>
          </cell>
          <cell r="B701" t="str">
            <v>TV GIPPS</v>
          </cell>
          <cell r="C701" t="str">
            <v>Tabela de Valores da Gratif Incentivo a Prod e Pesq Saude</v>
          </cell>
          <cell r="D701" t="str">
            <v>40H</v>
          </cell>
          <cell r="E701">
            <v>39234</v>
          </cell>
          <cell r="G701" t="str">
            <v>02</v>
          </cell>
          <cell r="I701" t="str">
            <v>Valor</v>
          </cell>
          <cell r="J701">
            <v>715.4</v>
          </cell>
        </row>
        <row r="702">
          <cell r="A702" t="str">
            <v>TV GIPPS 03 40H</v>
          </cell>
          <cell r="B702" t="str">
            <v>TV GIPPS</v>
          </cell>
          <cell r="C702" t="str">
            <v>Tabela de Valores da Gratif Incentivo a Prod e Pesq Saude</v>
          </cell>
          <cell r="D702" t="str">
            <v>40H</v>
          </cell>
          <cell r="E702">
            <v>39234</v>
          </cell>
          <cell r="G702" t="str">
            <v>03</v>
          </cell>
          <cell r="I702" t="str">
            <v>Valor</v>
          </cell>
          <cell r="J702">
            <v>1907.3</v>
          </cell>
        </row>
        <row r="703">
          <cell r="A703" t="str">
            <v>TV GIPPS EXT 01 30H</v>
          </cell>
          <cell r="B703" t="str">
            <v>TV GIPPS EXT</v>
          </cell>
          <cell r="C703" t="str">
            <v>Tabela de Valores da GIPPS - Em Extinção</v>
          </cell>
          <cell r="D703" t="str">
            <v>30H</v>
          </cell>
          <cell r="E703">
            <v>40269</v>
          </cell>
          <cell r="G703" t="str">
            <v>01</v>
          </cell>
          <cell r="I703" t="str">
            <v>Valor</v>
          </cell>
          <cell r="J703">
            <v>536.6</v>
          </cell>
        </row>
        <row r="704">
          <cell r="A704" t="str">
            <v>TV GIPPS EXT 02 30H</v>
          </cell>
          <cell r="B704" t="str">
            <v>TV GIPPS EXT</v>
          </cell>
          <cell r="C704" t="str">
            <v>Tabela de Valores da GIPPS - Em Extinção</v>
          </cell>
          <cell r="D704" t="str">
            <v>30H</v>
          </cell>
          <cell r="E704">
            <v>40269</v>
          </cell>
          <cell r="G704" t="str">
            <v>02</v>
          </cell>
          <cell r="I704" t="str">
            <v>Valor</v>
          </cell>
          <cell r="J704">
            <v>715.4</v>
          </cell>
        </row>
        <row r="705">
          <cell r="A705" t="str">
            <v>TV GIPPS EXT 03 30H</v>
          </cell>
          <cell r="B705" t="str">
            <v>TV GIPPS EXT</v>
          </cell>
          <cell r="C705" t="str">
            <v>Tabela de Valores da GIPPS - Em Extinção</v>
          </cell>
          <cell r="D705" t="str">
            <v>30H</v>
          </cell>
          <cell r="E705">
            <v>40269</v>
          </cell>
          <cell r="G705" t="str">
            <v>03</v>
          </cell>
          <cell r="I705" t="str">
            <v>Valor</v>
          </cell>
          <cell r="J705">
            <v>1907.3</v>
          </cell>
        </row>
        <row r="706">
          <cell r="A706" t="str">
            <v>TV GOVERNO 01 40H</v>
          </cell>
          <cell r="B706" t="str">
            <v>TV GOVERNO</v>
          </cell>
          <cell r="C706" t="str">
            <v>Tabela de Valores Governador/Secretarios</v>
          </cell>
          <cell r="D706" t="str">
            <v>40H</v>
          </cell>
          <cell r="E706">
            <v>41640</v>
          </cell>
          <cell r="G706" t="str">
            <v>01</v>
          </cell>
          <cell r="H706" t="str">
            <v>Governador</v>
          </cell>
          <cell r="I706" t="str">
            <v>Básico</v>
          </cell>
          <cell r="J706">
            <v>17347.14</v>
          </cell>
          <cell r="K706" t="str">
            <v>Representação</v>
          </cell>
        </row>
        <row r="707">
          <cell r="A707" t="str">
            <v>TV GOVERNO 02 40H</v>
          </cell>
          <cell r="B707" t="str">
            <v>TV GOVERNO</v>
          </cell>
          <cell r="C707" t="str">
            <v>Tabela de Valores Governador/Secretarios</v>
          </cell>
          <cell r="D707" t="str">
            <v>40H</v>
          </cell>
          <cell r="E707">
            <v>41640</v>
          </cell>
          <cell r="G707" t="str">
            <v>02</v>
          </cell>
          <cell r="H707" t="str">
            <v>Vice-Governador</v>
          </cell>
          <cell r="I707" t="str">
            <v>Básico</v>
          </cell>
          <cell r="J707">
            <v>11564.76</v>
          </cell>
          <cell r="K707" t="str">
            <v>Representação</v>
          </cell>
        </row>
        <row r="708">
          <cell r="A708" t="str">
            <v>TV GOVERNO 03 40H</v>
          </cell>
          <cell r="B708" t="str">
            <v>TV GOVERNO</v>
          </cell>
          <cell r="C708" t="str">
            <v>Tabela de Valores Governador/Secretarios</v>
          </cell>
          <cell r="D708" t="str">
            <v>40H</v>
          </cell>
          <cell r="E708">
            <v>41640</v>
          </cell>
          <cell r="G708" t="str">
            <v>03</v>
          </cell>
          <cell r="H708" t="str">
            <v>Secretarios</v>
          </cell>
          <cell r="I708" t="str">
            <v>Básico</v>
          </cell>
          <cell r="J708">
            <v>11564.76</v>
          </cell>
          <cell r="K708" t="str">
            <v>Representação</v>
          </cell>
        </row>
        <row r="709">
          <cell r="A709" t="str">
            <v>TV GOVERNO 04 40H</v>
          </cell>
          <cell r="B709" t="str">
            <v>TV GOVERNO</v>
          </cell>
          <cell r="C709" t="str">
            <v>Tabela de Valores Governador/Secretarios</v>
          </cell>
          <cell r="D709" t="str">
            <v>40H</v>
          </cell>
          <cell r="E709">
            <v>41640</v>
          </cell>
          <cell r="G709" t="str">
            <v>04</v>
          </cell>
          <cell r="H709" t="str">
            <v>Ex-Governador</v>
          </cell>
          <cell r="I709" t="str">
            <v>Básico</v>
          </cell>
          <cell r="J709">
            <v>26589.68</v>
          </cell>
          <cell r="K709" t="str">
            <v>Representação</v>
          </cell>
          <cell r="L709">
            <v>0</v>
          </cell>
        </row>
        <row r="710">
          <cell r="A710" t="str">
            <v>TV GOVERNO 05 40H</v>
          </cell>
          <cell r="B710" t="str">
            <v>TV GOVERNO</v>
          </cell>
          <cell r="C710" t="str">
            <v>Tabela de Valores Governador/Secretarios</v>
          </cell>
          <cell r="D710" t="str">
            <v>40H</v>
          </cell>
          <cell r="E710">
            <v>41640</v>
          </cell>
          <cell r="G710" t="str">
            <v>05</v>
          </cell>
          <cell r="H710" t="str">
            <v>Deputados</v>
          </cell>
          <cell r="I710" t="str">
            <v>Básico</v>
          </cell>
          <cell r="J710">
            <v>20042.34</v>
          </cell>
          <cell r="K710" t="str">
            <v>Representação</v>
          </cell>
        </row>
        <row r="711">
          <cell r="A711" t="str">
            <v>TV GOVERNO 06 40H</v>
          </cell>
          <cell r="B711" t="str">
            <v>TV GOVERNO</v>
          </cell>
          <cell r="C711" t="str">
            <v>Tabela de Valores Governador/Secretarios</v>
          </cell>
          <cell r="D711" t="str">
            <v>40H</v>
          </cell>
          <cell r="E711">
            <v>41640</v>
          </cell>
          <cell r="G711" t="str">
            <v>06</v>
          </cell>
          <cell r="H711" t="str">
            <v>Repr Incorp Secretario</v>
          </cell>
          <cell r="I711" t="str">
            <v>Básico</v>
          </cell>
          <cell r="J711">
            <v>1900.9</v>
          </cell>
          <cell r="K711" t="str">
            <v>Representação</v>
          </cell>
        </row>
        <row r="712">
          <cell r="A712" t="str">
            <v>TV IGP 01 40H</v>
          </cell>
          <cell r="B712" t="str">
            <v>TV IGP</v>
          </cell>
          <cell r="C712" t="str">
            <v>Tabela de Valores Servidores Intituto Geral de Pericias</v>
          </cell>
          <cell r="D712" t="str">
            <v>40H</v>
          </cell>
          <cell r="E712">
            <v>41579</v>
          </cell>
          <cell r="G712" t="str">
            <v>01</v>
          </cell>
          <cell r="H712" t="str">
            <v>Perito - Cl A</v>
          </cell>
          <cell r="I712" t="str">
            <v>Básico</v>
          </cell>
          <cell r="J712">
            <v>4534.98</v>
          </cell>
          <cell r="K712" t="str">
            <v>% Risco Vida</v>
          </cell>
          <cell r="L712">
            <v>70</v>
          </cell>
        </row>
        <row r="713">
          <cell r="A713" t="str">
            <v>TV IGP 02 40H</v>
          </cell>
          <cell r="B713" t="str">
            <v>TV IGP</v>
          </cell>
          <cell r="C713" t="str">
            <v>Tabela de Valores Servidores Intituto Geral de Pericias</v>
          </cell>
          <cell r="D713" t="str">
            <v>40H</v>
          </cell>
          <cell r="E713">
            <v>41579</v>
          </cell>
          <cell r="G713" t="str">
            <v>02</v>
          </cell>
          <cell r="H713" t="str">
            <v>Perito - Cl B</v>
          </cell>
          <cell r="I713" t="str">
            <v>Básico</v>
          </cell>
          <cell r="J713">
            <v>4903.25</v>
          </cell>
          <cell r="K713" t="str">
            <v>% Risco Vida</v>
          </cell>
          <cell r="L713">
            <v>70</v>
          </cell>
        </row>
        <row r="714">
          <cell r="A714" t="str">
            <v>TV IGP 03 40H</v>
          </cell>
          <cell r="B714" t="str">
            <v>TV IGP</v>
          </cell>
          <cell r="C714" t="str">
            <v>Tabela de Valores Servidores Intituto Geral de Pericias</v>
          </cell>
          <cell r="D714" t="str">
            <v>40H</v>
          </cell>
          <cell r="E714">
            <v>41579</v>
          </cell>
          <cell r="G714" t="str">
            <v>03</v>
          </cell>
          <cell r="H714" t="str">
            <v>Perito - Cl C</v>
          </cell>
          <cell r="I714" t="str">
            <v>Básico</v>
          </cell>
          <cell r="J714">
            <v>5214.13</v>
          </cell>
          <cell r="K714" t="str">
            <v>% Risco Vida</v>
          </cell>
          <cell r="L714">
            <v>70</v>
          </cell>
        </row>
        <row r="715">
          <cell r="A715" t="str">
            <v>TV IGP 04 40H</v>
          </cell>
          <cell r="B715" t="str">
            <v>TV IGP</v>
          </cell>
          <cell r="C715" t="str">
            <v>Tabela de Valores Servidores Intituto Geral de Pericias</v>
          </cell>
          <cell r="D715" t="str">
            <v>40H</v>
          </cell>
          <cell r="E715">
            <v>41579</v>
          </cell>
          <cell r="G715" t="str">
            <v>04</v>
          </cell>
          <cell r="H715" t="str">
            <v>Perito - Cl D</v>
          </cell>
          <cell r="I715" t="str">
            <v>Básico</v>
          </cell>
          <cell r="J715">
            <v>5468.99</v>
          </cell>
          <cell r="K715" t="str">
            <v>% Risco Vida</v>
          </cell>
          <cell r="L715">
            <v>70</v>
          </cell>
        </row>
        <row r="716">
          <cell r="A716" t="str">
            <v>TV IGP 05 40H</v>
          </cell>
          <cell r="B716" t="str">
            <v>TV IGP</v>
          </cell>
          <cell r="C716" t="str">
            <v>Tabela de Valores Servidores Intituto Geral de Pericias</v>
          </cell>
          <cell r="D716" t="str">
            <v>40H</v>
          </cell>
          <cell r="E716">
            <v>41579</v>
          </cell>
          <cell r="G716" t="str">
            <v>05</v>
          </cell>
          <cell r="H716" t="str">
            <v>Perito - Cl E</v>
          </cell>
          <cell r="I716" t="str">
            <v>Básico</v>
          </cell>
          <cell r="J716">
            <v>5666.46</v>
          </cell>
          <cell r="K716" t="str">
            <v>% Risco Vida</v>
          </cell>
          <cell r="L716">
            <v>70</v>
          </cell>
        </row>
        <row r="717">
          <cell r="A717" t="str">
            <v>TV IGP 06 40H</v>
          </cell>
          <cell r="B717" t="str">
            <v>TV IGP</v>
          </cell>
          <cell r="C717" t="str">
            <v>Tabela de Valores Servidores Intituto Geral de Pericias</v>
          </cell>
          <cell r="D717" t="str">
            <v>40H</v>
          </cell>
          <cell r="E717">
            <v>41579</v>
          </cell>
          <cell r="G717" t="str">
            <v>06</v>
          </cell>
          <cell r="H717" t="str">
            <v>Pap/Fot - Cl A</v>
          </cell>
          <cell r="I717" t="str">
            <v>Básico</v>
          </cell>
          <cell r="J717">
            <v>2408.11</v>
          </cell>
          <cell r="K717" t="str">
            <v>% Risco Vida</v>
          </cell>
          <cell r="L717">
            <v>70</v>
          </cell>
        </row>
        <row r="718">
          <cell r="A718" t="str">
            <v>TV IGP 07 40H</v>
          </cell>
          <cell r="B718" t="str">
            <v>TV IGP</v>
          </cell>
          <cell r="C718" t="str">
            <v>Tabela de Valores Servidores Intituto Geral de Pericias</v>
          </cell>
          <cell r="D718" t="str">
            <v>40H</v>
          </cell>
          <cell r="E718">
            <v>41579</v>
          </cell>
          <cell r="G718" t="str">
            <v>07</v>
          </cell>
          <cell r="H718" t="str">
            <v>Pap/Fot - Cl B</v>
          </cell>
          <cell r="I718" t="str">
            <v>Básico</v>
          </cell>
          <cell r="J718">
            <v>2618.09</v>
          </cell>
          <cell r="K718" t="str">
            <v>% Risco Vida</v>
          </cell>
          <cell r="L718">
            <v>70</v>
          </cell>
        </row>
        <row r="719">
          <cell r="A719" t="str">
            <v>TV IGP 08 40H</v>
          </cell>
          <cell r="B719" t="str">
            <v>TV IGP</v>
          </cell>
          <cell r="C719" t="str">
            <v>Tabela de Valores Servidores Intituto Geral de Pericias</v>
          </cell>
          <cell r="D719" t="str">
            <v>40H</v>
          </cell>
          <cell r="E719">
            <v>41579</v>
          </cell>
          <cell r="G719" t="str">
            <v>08</v>
          </cell>
          <cell r="H719" t="str">
            <v>Pap/Fot - Cl C</v>
          </cell>
          <cell r="I719" t="str">
            <v>Básico</v>
          </cell>
          <cell r="J719">
            <v>2794.5</v>
          </cell>
          <cell r="K719" t="str">
            <v>% Risco Vida</v>
          </cell>
          <cell r="L719">
            <v>70</v>
          </cell>
        </row>
        <row r="720">
          <cell r="A720" t="str">
            <v>TV IGP 09 40H</v>
          </cell>
          <cell r="B720" t="str">
            <v>TV IGP</v>
          </cell>
          <cell r="C720" t="str">
            <v>Tabela de Valores Servidores Intituto Geral de Pericias</v>
          </cell>
          <cell r="D720" t="str">
            <v>40H</v>
          </cell>
          <cell r="E720">
            <v>41579</v>
          </cell>
          <cell r="G720" t="str">
            <v>09</v>
          </cell>
          <cell r="H720" t="str">
            <v>Pap/Fot - Cl D</v>
          </cell>
          <cell r="I720" t="str">
            <v>Básico</v>
          </cell>
          <cell r="J720">
            <v>2939.09</v>
          </cell>
          <cell r="K720" t="str">
            <v>% Risco Vida</v>
          </cell>
          <cell r="L720">
            <v>70</v>
          </cell>
        </row>
        <row r="721">
          <cell r="A721" t="str">
            <v>TV IGP 10 40H</v>
          </cell>
          <cell r="B721" t="str">
            <v>TV IGP</v>
          </cell>
          <cell r="C721" t="str">
            <v>Tabela de Valores Servidores Intituto Geral de Pericias</v>
          </cell>
          <cell r="D721" t="str">
            <v>40H</v>
          </cell>
          <cell r="E721">
            <v>41579</v>
          </cell>
          <cell r="G721" t="str">
            <v>10</v>
          </cell>
          <cell r="H721" t="str">
            <v>Pap/Fot - Cl E</v>
          </cell>
          <cell r="I721" t="str">
            <v>Básico</v>
          </cell>
          <cell r="J721">
            <v>3051.63</v>
          </cell>
          <cell r="K721" t="str">
            <v>% Risco Vida</v>
          </cell>
          <cell r="L721">
            <v>70</v>
          </cell>
        </row>
        <row r="722">
          <cell r="A722" t="str">
            <v>TV IGP 11 40H</v>
          </cell>
          <cell r="B722" t="str">
            <v>TV IGP</v>
          </cell>
          <cell r="C722" t="str">
            <v>Tabela de Valores Servidores Intituto Geral de Pericias</v>
          </cell>
          <cell r="D722" t="str">
            <v>40H</v>
          </cell>
          <cell r="E722">
            <v>41579</v>
          </cell>
          <cell r="G722" t="str">
            <v>11</v>
          </cell>
          <cell r="H722" t="str">
            <v>Aux Per - Cl A</v>
          </cell>
          <cell r="I722" t="str">
            <v>Básico</v>
          </cell>
          <cell r="J722">
            <v>1449.13</v>
          </cell>
          <cell r="K722" t="str">
            <v>% Risco Vida</v>
          </cell>
          <cell r="L722">
            <v>70</v>
          </cell>
        </row>
        <row r="723">
          <cell r="A723" t="str">
            <v>TV IGP 12 40H</v>
          </cell>
          <cell r="B723" t="str">
            <v>TV IGP</v>
          </cell>
          <cell r="C723" t="str">
            <v>Tabela de Valores Servidores Intituto Geral de Pericias</v>
          </cell>
          <cell r="D723" t="str">
            <v>40H</v>
          </cell>
          <cell r="E723">
            <v>41579</v>
          </cell>
          <cell r="G723" t="str">
            <v>12</v>
          </cell>
          <cell r="H723" t="str">
            <v>Aux Per - Cl B</v>
          </cell>
          <cell r="I723" t="str">
            <v>Básico</v>
          </cell>
          <cell r="J723">
            <v>1575.45</v>
          </cell>
          <cell r="K723" t="str">
            <v>% Risco Vida</v>
          </cell>
          <cell r="L723">
            <v>70</v>
          </cell>
        </row>
        <row r="724">
          <cell r="A724" t="str">
            <v>TV IGP 13 40H</v>
          </cell>
          <cell r="B724" t="str">
            <v>TV IGP</v>
          </cell>
          <cell r="C724" t="str">
            <v>Tabela de Valores Servidores Intituto Geral de Pericias</v>
          </cell>
          <cell r="D724" t="str">
            <v>40H</v>
          </cell>
          <cell r="E724">
            <v>41579</v>
          </cell>
          <cell r="G724" t="str">
            <v>13</v>
          </cell>
          <cell r="H724" t="str">
            <v>Aux Per - Cl C</v>
          </cell>
          <cell r="I724" t="str">
            <v>Básico</v>
          </cell>
          <cell r="J724">
            <v>1684.09</v>
          </cell>
          <cell r="K724" t="str">
            <v>% Risco Vida</v>
          </cell>
          <cell r="L724">
            <v>70</v>
          </cell>
        </row>
        <row r="725">
          <cell r="A725" t="str">
            <v>TV IGP 14 40H</v>
          </cell>
          <cell r="B725" t="str">
            <v>TV IGP</v>
          </cell>
          <cell r="C725" t="str">
            <v>Tabela de Valores Servidores Intituto Geral de Pericias</v>
          </cell>
          <cell r="D725" t="str">
            <v>40H</v>
          </cell>
          <cell r="E725">
            <v>41579</v>
          </cell>
          <cell r="G725" t="str">
            <v>14</v>
          </cell>
          <cell r="H725" t="str">
            <v>Aux Per - Cl D</v>
          </cell>
          <cell r="I725" t="str">
            <v>Básico</v>
          </cell>
          <cell r="J725">
            <v>1774.96</v>
          </cell>
          <cell r="K725" t="str">
            <v>% Risco Vida</v>
          </cell>
          <cell r="L725">
            <v>70</v>
          </cell>
        </row>
        <row r="726">
          <cell r="A726" t="str">
            <v>TV IGP 15 40H</v>
          </cell>
          <cell r="B726" t="str">
            <v>TV IGP</v>
          </cell>
          <cell r="C726" t="str">
            <v>Tabela de Valores Servidores Intituto Geral de Pericias</v>
          </cell>
          <cell r="D726" t="str">
            <v>40H</v>
          </cell>
          <cell r="E726">
            <v>41579</v>
          </cell>
          <cell r="G726" t="str">
            <v>15</v>
          </cell>
          <cell r="H726" t="str">
            <v>Aux Per - Cl E</v>
          </cell>
          <cell r="I726" t="str">
            <v>Básico</v>
          </cell>
          <cell r="J726">
            <v>1876.73</v>
          </cell>
          <cell r="K726" t="str">
            <v>% Risco Vida</v>
          </cell>
          <cell r="L726">
            <v>70</v>
          </cell>
        </row>
        <row r="727">
          <cell r="A727" t="str">
            <v>TV IMPLANTAÇÃO BDP 01 40H</v>
          </cell>
          <cell r="B727" t="str">
            <v>TV IMPLANTAÇÃO BDP</v>
          </cell>
          <cell r="C727" t="str">
            <v>Tabela de Situações Especiais</v>
          </cell>
          <cell r="D727" t="str">
            <v>40H</v>
          </cell>
          <cell r="E727">
            <v>38412</v>
          </cell>
          <cell r="G727" t="str">
            <v>01</v>
          </cell>
          <cell r="H727" t="str">
            <v>Sem Básico</v>
          </cell>
          <cell r="I727" t="str">
            <v>Básico</v>
          </cell>
          <cell r="J727">
            <v>0</v>
          </cell>
          <cell r="K727" t="str">
            <v>Parc Autonoma</v>
          </cell>
          <cell r="L727">
            <v>0</v>
          </cell>
        </row>
        <row r="728">
          <cell r="A728" t="str">
            <v>TV JETON 1 SEM JORNADA</v>
          </cell>
          <cell r="B728" t="str">
            <v>TV JETON</v>
          </cell>
          <cell r="C728" t="str">
            <v>Tabela Jeton</v>
          </cell>
          <cell r="D728" t="str">
            <v>SEM JORNADA</v>
          </cell>
          <cell r="E728">
            <v>41671</v>
          </cell>
          <cell r="G728" t="str">
            <v>1</v>
          </cell>
          <cell r="H728" t="str">
            <v>Grau 1</v>
          </cell>
          <cell r="I728" t="str">
            <v>Jeton</v>
          </cell>
          <cell r="J728">
            <v>94.9</v>
          </cell>
        </row>
        <row r="729">
          <cell r="A729" t="str">
            <v>TV JETON 2 SEM JORNADA</v>
          </cell>
          <cell r="B729" t="str">
            <v>TV JETON</v>
          </cell>
          <cell r="C729" t="str">
            <v>Tabela Jeton</v>
          </cell>
          <cell r="D729" t="str">
            <v>SEM JORNADA</v>
          </cell>
          <cell r="E729">
            <v>41671</v>
          </cell>
          <cell r="G729" t="str">
            <v>2</v>
          </cell>
          <cell r="H729" t="str">
            <v>Grau 2</v>
          </cell>
          <cell r="I729" t="str">
            <v>Jeton</v>
          </cell>
          <cell r="J729">
            <v>76</v>
          </cell>
        </row>
        <row r="730">
          <cell r="A730" t="str">
            <v>TV JETON 3 SEM JORNADA</v>
          </cell>
          <cell r="B730" t="str">
            <v>TV JETON</v>
          </cell>
          <cell r="C730" t="str">
            <v>Tabela Jeton</v>
          </cell>
          <cell r="D730" t="str">
            <v>SEM JORNADA</v>
          </cell>
          <cell r="E730">
            <v>41671</v>
          </cell>
          <cell r="G730" t="str">
            <v>3</v>
          </cell>
          <cell r="H730" t="str">
            <v>Grau 3</v>
          </cell>
          <cell r="I730" t="str">
            <v>Jeton</v>
          </cell>
          <cell r="J730">
            <v>57</v>
          </cell>
        </row>
        <row r="731">
          <cell r="A731" t="str">
            <v>TV JETON 4 SEM JORNADA</v>
          </cell>
          <cell r="B731" t="str">
            <v>TV JETON</v>
          </cell>
          <cell r="C731" t="str">
            <v>Tabela Jeton</v>
          </cell>
          <cell r="D731" t="str">
            <v>SEM JORNADA</v>
          </cell>
          <cell r="E731">
            <v>41671</v>
          </cell>
          <cell r="G731" t="str">
            <v>4</v>
          </cell>
          <cell r="H731" t="str">
            <v>Grau 4</v>
          </cell>
          <cell r="I731" t="str">
            <v>Jeton</v>
          </cell>
          <cell r="J731">
            <v>170.52</v>
          </cell>
        </row>
        <row r="732">
          <cell r="A732" t="str">
            <v>TV JETON 5 SEM JORNADA</v>
          </cell>
          <cell r="B732" t="str">
            <v>TV JETON</v>
          </cell>
          <cell r="C732" t="str">
            <v>Tabela Jeton</v>
          </cell>
          <cell r="D732" t="str">
            <v>SEM JORNADA</v>
          </cell>
          <cell r="E732">
            <v>41671</v>
          </cell>
          <cell r="G732" t="str">
            <v>5</v>
          </cell>
          <cell r="H732" t="str">
            <v>Especial I</v>
          </cell>
          <cell r="I732" t="str">
            <v>Jeton</v>
          </cell>
          <cell r="J732">
            <v>170.52</v>
          </cell>
        </row>
        <row r="733">
          <cell r="A733" t="str">
            <v>TV JETON 6 SEM JORNADA</v>
          </cell>
          <cell r="B733" t="str">
            <v>TV JETON</v>
          </cell>
          <cell r="C733" t="str">
            <v>Tabela Jeton</v>
          </cell>
          <cell r="D733" t="str">
            <v>SEM JORNADA</v>
          </cell>
          <cell r="E733">
            <v>41671</v>
          </cell>
          <cell r="G733" t="str">
            <v>6</v>
          </cell>
          <cell r="H733" t="str">
            <v>Especial II</v>
          </cell>
          <cell r="I733" t="str">
            <v>Jeton</v>
          </cell>
          <cell r="J733">
            <v>142</v>
          </cell>
        </row>
        <row r="734">
          <cell r="A734" t="str">
            <v>TV MAGIST PL CARR 01 20H</v>
          </cell>
          <cell r="B734" t="str">
            <v>TV MAGIST PL CARR</v>
          </cell>
          <cell r="C734" t="str">
            <v>Tabela de Valores Magistério Plano de Carreira</v>
          </cell>
          <cell r="D734" t="str">
            <v>20H</v>
          </cell>
          <cell r="E734">
            <v>41579</v>
          </cell>
          <cell r="G734" t="str">
            <v>01</v>
          </cell>
          <cell r="H734" t="str">
            <v>A1</v>
          </cell>
          <cell r="I734" t="str">
            <v>Básico</v>
          </cell>
          <cell r="J734">
            <v>520.26</v>
          </cell>
          <cell r="K734" t="str">
            <v>Parc Autonoma</v>
          </cell>
          <cell r="L734">
            <v>0</v>
          </cell>
        </row>
        <row r="735">
          <cell r="A735" t="str">
            <v>TV MAGIST PL CARR 02 20H</v>
          </cell>
          <cell r="B735" t="str">
            <v>TV MAGIST PL CARR</v>
          </cell>
          <cell r="C735" t="str">
            <v>Tabela de Valores Magistério Plano de Carreira</v>
          </cell>
          <cell r="D735" t="str">
            <v>20H</v>
          </cell>
          <cell r="E735">
            <v>41579</v>
          </cell>
          <cell r="G735" t="str">
            <v>02</v>
          </cell>
          <cell r="H735" t="str">
            <v>A2</v>
          </cell>
          <cell r="I735" t="str">
            <v>Básico</v>
          </cell>
          <cell r="J735">
            <v>598.29</v>
          </cell>
          <cell r="K735" t="str">
            <v>Parc Autonoma</v>
          </cell>
          <cell r="L735">
            <v>0</v>
          </cell>
        </row>
        <row r="736">
          <cell r="A736" t="str">
            <v>TV MAGIST PL CARR 03 20H</v>
          </cell>
          <cell r="B736" t="str">
            <v>TV MAGIST PL CARR</v>
          </cell>
          <cell r="C736" t="str">
            <v>Tabela de Valores Magistério Plano de Carreira</v>
          </cell>
          <cell r="D736" t="str">
            <v>20H</v>
          </cell>
          <cell r="E736">
            <v>41579</v>
          </cell>
          <cell r="G736" t="str">
            <v>03</v>
          </cell>
          <cell r="H736" t="str">
            <v>A3</v>
          </cell>
          <cell r="I736" t="str">
            <v>Básico</v>
          </cell>
          <cell r="J736">
            <v>676.33</v>
          </cell>
          <cell r="K736" t="str">
            <v>Parc Autonoma</v>
          </cell>
          <cell r="L736">
            <v>0</v>
          </cell>
        </row>
        <row r="737">
          <cell r="A737" t="str">
            <v>TV MAGIST PL CARR 04 20H</v>
          </cell>
          <cell r="B737" t="str">
            <v>TV MAGIST PL CARR</v>
          </cell>
          <cell r="C737" t="str">
            <v>Tabela de Valores Magistério Plano de Carreira</v>
          </cell>
          <cell r="D737" t="str">
            <v>20H</v>
          </cell>
          <cell r="E737">
            <v>41579</v>
          </cell>
          <cell r="G737" t="str">
            <v>04</v>
          </cell>
          <cell r="H737" t="str">
            <v>A4</v>
          </cell>
          <cell r="I737" t="str">
            <v>Básico</v>
          </cell>
          <cell r="J737">
            <v>780.39</v>
          </cell>
          <cell r="K737" t="str">
            <v>Parc Autonoma</v>
          </cell>
          <cell r="L737">
            <v>0</v>
          </cell>
        </row>
        <row r="738">
          <cell r="A738" t="str">
            <v>TV MAGIST PL CARR 05 20H</v>
          </cell>
          <cell r="B738" t="str">
            <v>TV MAGIST PL CARR</v>
          </cell>
          <cell r="C738" t="str">
            <v>Tabela de Valores Magistério Plano de Carreira</v>
          </cell>
          <cell r="D738" t="str">
            <v>20H</v>
          </cell>
          <cell r="E738">
            <v>41579</v>
          </cell>
          <cell r="G738" t="str">
            <v>05</v>
          </cell>
          <cell r="H738" t="str">
            <v>A5</v>
          </cell>
          <cell r="I738" t="str">
            <v>Básico</v>
          </cell>
          <cell r="J738">
            <v>962.48</v>
          </cell>
          <cell r="K738" t="str">
            <v>Parc Autonoma</v>
          </cell>
          <cell r="L738">
            <v>0</v>
          </cell>
        </row>
        <row r="739">
          <cell r="A739" t="str">
            <v>TV MAGIST PL CARR 06 20H</v>
          </cell>
          <cell r="B739" t="str">
            <v>TV MAGIST PL CARR</v>
          </cell>
          <cell r="C739" t="str">
            <v>Tabela de Valores Magistério Plano de Carreira</v>
          </cell>
          <cell r="D739" t="str">
            <v>20H</v>
          </cell>
          <cell r="E739">
            <v>41579</v>
          </cell>
          <cell r="G739" t="str">
            <v>06</v>
          </cell>
          <cell r="H739" t="str">
            <v>A6</v>
          </cell>
          <cell r="I739" t="str">
            <v>Básico</v>
          </cell>
          <cell r="J739">
            <v>1040.52</v>
          </cell>
          <cell r="K739" t="str">
            <v>Parc Autonoma</v>
          </cell>
          <cell r="L739">
            <v>0</v>
          </cell>
        </row>
        <row r="740">
          <cell r="A740" t="str">
            <v>TV MAGIST PL CARR 07 20H</v>
          </cell>
          <cell r="B740" t="str">
            <v>TV MAGIST PL CARR</v>
          </cell>
          <cell r="C740" t="str">
            <v>Tabela de Valores Magistério Plano de Carreira</v>
          </cell>
          <cell r="D740" t="str">
            <v>20H</v>
          </cell>
          <cell r="E740">
            <v>41579</v>
          </cell>
          <cell r="G740" t="str">
            <v>07</v>
          </cell>
          <cell r="H740" t="str">
            <v>B1</v>
          </cell>
          <cell r="I740" t="str">
            <v>Básico</v>
          </cell>
          <cell r="J740">
            <v>572.28</v>
          </cell>
          <cell r="K740" t="str">
            <v>Parc Autonoma</v>
          </cell>
          <cell r="L740">
            <v>0</v>
          </cell>
        </row>
        <row r="741">
          <cell r="A741" t="str">
            <v>TV MAGIST PL CARR 08 20H</v>
          </cell>
          <cell r="B741" t="str">
            <v>TV MAGIST PL CARR</v>
          </cell>
          <cell r="C741" t="str">
            <v>Tabela de Valores Magistério Plano de Carreira</v>
          </cell>
          <cell r="D741" t="str">
            <v>20H</v>
          </cell>
          <cell r="E741">
            <v>41579</v>
          </cell>
          <cell r="G741" t="str">
            <v>08</v>
          </cell>
          <cell r="H741" t="str">
            <v>B2</v>
          </cell>
          <cell r="I741" t="str">
            <v>Básico</v>
          </cell>
          <cell r="J741">
            <v>658.12</v>
          </cell>
          <cell r="K741" t="str">
            <v>Parc Autonoma</v>
          </cell>
          <cell r="L741">
            <v>0</v>
          </cell>
        </row>
        <row r="742">
          <cell r="A742" t="str">
            <v>TV MAGIST PL CARR 09 20H</v>
          </cell>
          <cell r="B742" t="str">
            <v>TV MAGIST PL CARR</v>
          </cell>
          <cell r="C742" t="str">
            <v>Tabela de Valores Magistério Plano de Carreira</v>
          </cell>
          <cell r="D742" t="str">
            <v>20H</v>
          </cell>
          <cell r="E742">
            <v>41579</v>
          </cell>
          <cell r="G742" t="str">
            <v>09</v>
          </cell>
          <cell r="H742" t="str">
            <v>B3</v>
          </cell>
          <cell r="I742" t="str">
            <v>Básico</v>
          </cell>
          <cell r="J742">
            <v>743.97</v>
          </cell>
          <cell r="K742" t="str">
            <v>Parc Autonoma</v>
          </cell>
          <cell r="L742">
            <v>0</v>
          </cell>
        </row>
        <row r="743">
          <cell r="A743" t="str">
            <v>TV MAGIST PL CARR 10 20H</v>
          </cell>
          <cell r="B743" t="str">
            <v>TV MAGIST PL CARR</v>
          </cell>
          <cell r="C743" t="str">
            <v>Tabela de Valores Magistério Plano de Carreira</v>
          </cell>
          <cell r="D743" t="str">
            <v>20H</v>
          </cell>
          <cell r="E743">
            <v>41579</v>
          </cell>
          <cell r="G743" t="str">
            <v>10</v>
          </cell>
          <cell r="H743" t="str">
            <v>B4</v>
          </cell>
          <cell r="I743" t="str">
            <v>Básico</v>
          </cell>
          <cell r="J743">
            <v>858.42</v>
          </cell>
          <cell r="K743" t="str">
            <v>Parc Autonoma</v>
          </cell>
          <cell r="L743">
            <v>0</v>
          </cell>
        </row>
        <row r="744">
          <cell r="A744" t="str">
            <v>TV MAGIST PL CARR 11 20H</v>
          </cell>
          <cell r="B744" t="str">
            <v>TV MAGIST PL CARR</v>
          </cell>
          <cell r="C744" t="str">
            <v>Tabela de Valores Magistério Plano de Carreira</v>
          </cell>
          <cell r="D744" t="str">
            <v>20H</v>
          </cell>
          <cell r="E744">
            <v>41579</v>
          </cell>
          <cell r="G744" t="str">
            <v>11</v>
          </cell>
          <cell r="H744" t="str">
            <v>B5</v>
          </cell>
          <cell r="I744" t="str">
            <v>Básico</v>
          </cell>
          <cell r="J744">
            <v>1058.72</v>
          </cell>
          <cell r="K744" t="str">
            <v>Parc Autonoma</v>
          </cell>
          <cell r="L744">
            <v>0</v>
          </cell>
        </row>
        <row r="745">
          <cell r="A745" t="str">
            <v>TV MAGIST PL CARR 12 20H</v>
          </cell>
          <cell r="B745" t="str">
            <v>TV MAGIST PL CARR</v>
          </cell>
          <cell r="C745" t="str">
            <v>Tabela de Valores Magistério Plano de Carreira</v>
          </cell>
          <cell r="D745" t="str">
            <v>20H</v>
          </cell>
          <cell r="E745">
            <v>41579</v>
          </cell>
          <cell r="G745" t="str">
            <v>12</v>
          </cell>
          <cell r="H745" t="str">
            <v>B6</v>
          </cell>
          <cell r="I745" t="str">
            <v>Básico</v>
          </cell>
          <cell r="J745">
            <v>1144.57</v>
          </cell>
          <cell r="K745" t="str">
            <v>Parc Autonoma</v>
          </cell>
          <cell r="L745">
            <v>0</v>
          </cell>
        </row>
        <row r="746">
          <cell r="A746" t="str">
            <v>TV MAGIST PL CARR 13 20H</v>
          </cell>
          <cell r="B746" t="str">
            <v>TV MAGIST PL CARR</v>
          </cell>
          <cell r="C746" t="str">
            <v>Tabela de Valores Magistério Plano de Carreira</v>
          </cell>
          <cell r="D746" t="str">
            <v>20H</v>
          </cell>
          <cell r="E746">
            <v>41579</v>
          </cell>
          <cell r="G746" t="str">
            <v>13</v>
          </cell>
          <cell r="H746" t="str">
            <v>C1</v>
          </cell>
          <cell r="I746" t="str">
            <v>Básico</v>
          </cell>
          <cell r="J746">
            <v>624.31</v>
          </cell>
          <cell r="K746" t="str">
            <v>Parc Autonoma</v>
          </cell>
          <cell r="L746">
            <v>0</v>
          </cell>
        </row>
        <row r="747">
          <cell r="A747" t="str">
            <v>TV MAGIST PL CARR 14 20H</v>
          </cell>
          <cell r="B747" t="str">
            <v>TV MAGIST PL CARR</v>
          </cell>
          <cell r="C747" t="str">
            <v>Tabela de Valores Magistério Plano de Carreira</v>
          </cell>
          <cell r="D747" t="str">
            <v>20H</v>
          </cell>
          <cell r="E747">
            <v>41579</v>
          </cell>
          <cell r="G747" t="str">
            <v>14</v>
          </cell>
          <cell r="H747" t="str">
            <v>C2</v>
          </cell>
          <cell r="I747" t="str">
            <v>Básico</v>
          </cell>
          <cell r="J747">
            <v>717.95</v>
          </cell>
          <cell r="K747" t="str">
            <v>Parc Autonoma</v>
          </cell>
          <cell r="L747">
            <v>0</v>
          </cell>
        </row>
        <row r="748">
          <cell r="A748" t="str">
            <v>TV MAGIST PL CARR 15 20H</v>
          </cell>
          <cell r="B748" t="str">
            <v>TV MAGIST PL CARR</v>
          </cell>
          <cell r="C748" t="str">
            <v>Tabela de Valores Magistério Plano de Carreira</v>
          </cell>
          <cell r="D748" t="str">
            <v>20H</v>
          </cell>
          <cell r="E748">
            <v>41579</v>
          </cell>
          <cell r="G748" t="str">
            <v>15</v>
          </cell>
          <cell r="H748" t="str">
            <v>C3</v>
          </cell>
          <cell r="I748" t="str">
            <v>Básico</v>
          </cell>
          <cell r="J748">
            <v>811.6</v>
          </cell>
          <cell r="K748" t="str">
            <v>Parc Autonoma</v>
          </cell>
          <cell r="L748">
            <v>0</v>
          </cell>
        </row>
        <row r="749">
          <cell r="A749" t="str">
            <v>TV MAGIST PL CARR 16 20H</v>
          </cell>
          <cell r="B749" t="str">
            <v>TV MAGIST PL CARR</v>
          </cell>
          <cell r="C749" t="str">
            <v>Tabela de Valores Magistério Plano de Carreira</v>
          </cell>
          <cell r="D749" t="str">
            <v>20H</v>
          </cell>
          <cell r="E749">
            <v>41579</v>
          </cell>
          <cell r="G749" t="str">
            <v>16</v>
          </cell>
          <cell r="H749" t="str">
            <v>C4</v>
          </cell>
          <cell r="I749" t="str">
            <v>Básico</v>
          </cell>
          <cell r="J749">
            <v>936.46</v>
          </cell>
          <cell r="K749" t="str">
            <v>Parc Autonoma</v>
          </cell>
          <cell r="L749">
            <v>0</v>
          </cell>
        </row>
        <row r="750">
          <cell r="A750" t="str">
            <v>TV MAGIST PL CARR 17 20H</v>
          </cell>
          <cell r="B750" t="str">
            <v>TV MAGIST PL CARR</v>
          </cell>
          <cell r="C750" t="str">
            <v>Tabela de Valores Magistério Plano de Carreira</v>
          </cell>
          <cell r="D750" t="str">
            <v>20H</v>
          </cell>
          <cell r="E750">
            <v>41579</v>
          </cell>
          <cell r="G750" t="str">
            <v>17</v>
          </cell>
          <cell r="H750" t="str">
            <v>C5</v>
          </cell>
          <cell r="I750" t="str">
            <v>Básico</v>
          </cell>
          <cell r="J750">
            <v>1154.97</v>
          </cell>
          <cell r="K750" t="str">
            <v>Parc Autonoma</v>
          </cell>
          <cell r="L750">
            <v>0</v>
          </cell>
        </row>
        <row r="751">
          <cell r="A751" t="str">
            <v>TV MAGIST PL CARR 18 20H</v>
          </cell>
          <cell r="B751" t="str">
            <v>TV MAGIST PL CARR</v>
          </cell>
          <cell r="C751" t="str">
            <v>Tabela de Valores Magistério Plano de Carreira</v>
          </cell>
          <cell r="D751" t="str">
            <v>20H</v>
          </cell>
          <cell r="E751">
            <v>41579</v>
          </cell>
          <cell r="G751" t="str">
            <v>18</v>
          </cell>
          <cell r="H751" t="str">
            <v>C6</v>
          </cell>
          <cell r="I751" t="str">
            <v>Básico</v>
          </cell>
          <cell r="J751">
            <v>1248.62</v>
          </cell>
          <cell r="K751" t="str">
            <v>Parc Autonoma</v>
          </cell>
          <cell r="L751">
            <v>0</v>
          </cell>
        </row>
        <row r="752">
          <cell r="A752" t="str">
            <v>TV MAGIST PL CARR 19 20H</v>
          </cell>
          <cell r="B752" t="str">
            <v>TV MAGIST PL CARR</v>
          </cell>
          <cell r="C752" t="str">
            <v>Tabela de Valores Magistério Plano de Carreira</v>
          </cell>
          <cell r="D752" t="str">
            <v>20H</v>
          </cell>
          <cell r="E752">
            <v>41579</v>
          </cell>
          <cell r="G752" t="str">
            <v>19</v>
          </cell>
          <cell r="H752" t="str">
            <v>D1</v>
          </cell>
          <cell r="I752" t="str">
            <v>Básico</v>
          </cell>
          <cell r="J752">
            <v>676.33</v>
          </cell>
          <cell r="K752" t="str">
            <v>Parc Autonoma</v>
          </cell>
          <cell r="L752">
            <v>0</v>
          </cell>
        </row>
        <row r="753">
          <cell r="A753" t="str">
            <v>TV MAGIST PL CARR 20 20H</v>
          </cell>
          <cell r="B753" t="str">
            <v>TV MAGIST PL CARR</v>
          </cell>
          <cell r="C753" t="str">
            <v>Tabela de Valores Magistério Plano de Carreira</v>
          </cell>
          <cell r="D753" t="str">
            <v>20H</v>
          </cell>
          <cell r="E753">
            <v>41579</v>
          </cell>
          <cell r="G753" t="str">
            <v>20</v>
          </cell>
          <cell r="H753" t="str">
            <v>D2</v>
          </cell>
          <cell r="I753" t="str">
            <v>Básico</v>
          </cell>
          <cell r="J753">
            <v>777.78</v>
          </cell>
          <cell r="K753" t="str">
            <v>Parc Autonoma</v>
          </cell>
          <cell r="L753">
            <v>0</v>
          </cell>
        </row>
        <row r="754">
          <cell r="A754" t="str">
            <v>TV MAGIST PL CARR 21 20H</v>
          </cell>
          <cell r="B754" t="str">
            <v>TV MAGIST PL CARR</v>
          </cell>
          <cell r="C754" t="str">
            <v>Tabela de Valores Magistério Plano de Carreira</v>
          </cell>
          <cell r="D754" t="str">
            <v>20H</v>
          </cell>
          <cell r="E754">
            <v>41579</v>
          </cell>
          <cell r="G754" t="str">
            <v>21</v>
          </cell>
          <cell r="H754" t="str">
            <v>D3</v>
          </cell>
          <cell r="I754" t="str">
            <v>Básico</v>
          </cell>
          <cell r="J754">
            <v>879.23</v>
          </cell>
          <cell r="K754" t="str">
            <v>Parc Autonoma</v>
          </cell>
          <cell r="L754">
            <v>0</v>
          </cell>
        </row>
        <row r="755">
          <cell r="A755" t="str">
            <v>TV MAGIST PL CARR 22 20H</v>
          </cell>
          <cell r="B755" t="str">
            <v>TV MAGIST PL CARR</v>
          </cell>
          <cell r="C755" t="str">
            <v>Tabela de Valores Magistério Plano de Carreira</v>
          </cell>
          <cell r="D755" t="str">
            <v>20H</v>
          </cell>
          <cell r="E755">
            <v>41579</v>
          </cell>
          <cell r="G755" t="str">
            <v>22</v>
          </cell>
          <cell r="H755" t="str">
            <v>D4</v>
          </cell>
          <cell r="I755" t="str">
            <v>Básico</v>
          </cell>
          <cell r="J755">
            <v>1014.5</v>
          </cell>
          <cell r="K755" t="str">
            <v>Parc Autonoma</v>
          </cell>
          <cell r="L755">
            <v>0</v>
          </cell>
        </row>
        <row r="756">
          <cell r="A756" t="str">
            <v>TV MAGIST PL CARR 23 20H</v>
          </cell>
          <cell r="B756" t="str">
            <v>TV MAGIST PL CARR</v>
          </cell>
          <cell r="C756" t="str">
            <v>Tabela de Valores Magistério Plano de Carreira</v>
          </cell>
          <cell r="D756" t="str">
            <v>20H</v>
          </cell>
          <cell r="E756">
            <v>41579</v>
          </cell>
          <cell r="G756" t="str">
            <v>23</v>
          </cell>
          <cell r="H756" t="str">
            <v>D5</v>
          </cell>
          <cell r="I756" t="str">
            <v>Básico</v>
          </cell>
          <cell r="J756">
            <v>1251.22</v>
          </cell>
          <cell r="K756" t="str">
            <v>Parc Autonoma</v>
          </cell>
          <cell r="L756">
            <v>0</v>
          </cell>
        </row>
        <row r="757">
          <cell r="A757" t="str">
            <v>TV MAGIST PL CARR 24 20H</v>
          </cell>
          <cell r="B757" t="str">
            <v>TV MAGIST PL CARR</v>
          </cell>
          <cell r="C757" t="str">
            <v>Tabela de Valores Magistério Plano de Carreira</v>
          </cell>
          <cell r="D757" t="str">
            <v>20H</v>
          </cell>
          <cell r="E757">
            <v>41579</v>
          </cell>
          <cell r="G757" t="str">
            <v>24</v>
          </cell>
          <cell r="H757" t="str">
            <v>D6</v>
          </cell>
          <cell r="I757" t="str">
            <v>Básico</v>
          </cell>
          <cell r="J757">
            <v>1352.67</v>
          </cell>
          <cell r="K757" t="str">
            <v>Parc Autonoma</v>
          </cell>
          <cell r="L757">
            <v>0</v>
          </cell>
        </row>
        <row r="758">
          <cell r="A758" t="str">
            <v>TV MAGIST PL CARR 25 20H</v>
          </cell>
          <cell r="B758" t="str">
            <v>TV MAGIST PL CARR</v>
          </cell>
          <cell r="C758" t="str">
            <v>Tabela de Valores Magistério Plano de Carreira</v>
          </cell>
          <cell r="D758" t="str">
            <v>20H</v>
          </cell>
          <cell r="E758">
            <v>41579</v>
          </cell>
          <cell r="G758" t="str">
            <v>25</v>
          </cell>
          <cell r="H758" t="str">
            <v>E1</v>
          </cell>
          <cell r="I758" t="str">
            <v>Básico</v>
          </cell>
          <cell r="J758">
            <v>728.36</v>
          </cell>
          <cell r="K758" t="str">
            <v>Parc Autonoma</v>
          </cell>
          <cell r="L758">
            <v>0</v>
          </cell>
        </row>
        <row r="759">
          <cell r="A759" t="str">
            <v>TV MAGIST PL CARR 26 20H</v>
          </cell>
          <cell r="B759" t="str">
            <v>TV MAGIST PL CARR</v>
          </cell>
          <cell r="C759" t="str">
            <v>Tabela de Valores Magistério Plano de Carreira</v>
          </cell>
          <cell r="D759" t="str">
            <v>20H</v>
          </cell>
          <cell r="E759">
            <v>41579</v>
          </cell>
          <cell r="G759" t="str">
            <v>26</v>
          </cell>
          <cell r="H759" t="str">
            <v>E2</v>
          </cell>
          <cell r="I759" t="str">
            <v>Básico</v>
          </cell>
          <cell r="J759">
            <v>837.61</v>
          </cell>
          <cell r="K759" t="str">
            <v>Parc Autonoma</v>
          </cell>
          <cell r="L759">
            <v>0</v>
          </cell>
        </row>
        <row r="760">
          <cell r="A760" t="str">
            <v>TV MAGIST PL CARR 27 20H</v>
          </cell>
          <cell r="B760" t="str">
            <v>TV MAGIST PL CARR</v>
          </cell>
          <cell r="C760" t="str">
            <v>Tabela de Valores Magistério Plano de Carreira</v>
          </cell>
          <cell r="D760" t="str">
            <v>20H</v>
          </cell>
          <cell r="E760">
            <v>41579</v>
          </cell>
          <cell r="G760" t="str">
            <v>27</v>
          </cell>
          <cell r="H760" t="str">
            <v>E3</v>
          </cell>
          <cell r="I760" t="str">
            <v>Básico</v>
          </cell>
          <cell r="J760">
            <v>946.87</v>
          </cell>
          <cell r="K760" t="str">
            <v>Parc Autonoma</v>
          </cell>
          <cell r="L760">
            <v>0</v>
          </cell>
        </row>
        <row r="761">
          <cell r="A761" t="str">
            <v>TV MAGIST PL CARR 28 20H</v>
          </cell>
          <cell r="B761" t="str">
            <v>TV MAGIST PL CARR</v>
          </cell>
          <cell r="C761" t="str">
            <v>Tabela de Valores Magistério Plano de Carreira</v>
          </cell>
          <cell r="D761" t="str">
            <v>20H</v>
          </cell>
          <cell r="E761">
            <v>41579</v>
          </cell>
          <cell r="G761" t="str">
            <v>28</v>
          </cell>
          <cell r="H761" t="str">
            <v>E4</v>
          </cell>
          <cell r="I761" t="str">
            <v>Básico</v>
          </cell>
          <cell r="J761">
            <v>1092.54</v>
          </cell>
          <cell r="K761" t="str">
            <v>Parc Autonoma</v>
          </cell>
          <cell r="L761">
            <v>0</v>
          </cell>
        </row>
        <row r="762">
          <cell r="A762" t="str">
            <v>TV MAGIST PL CARR 29 20H</v>
          </cell>
          <cell r="B762" t="str">
            <v>TV MAGIST PL CARR</v>
          </cell>
          <cell r="C762" t="str">
            <v>Tabela de Valores Magistério Plano de Carreira</v>
          </cell>
          <cell r="D762" t="str">
            <v>20H</v>
          </cell>
          <cell r="E762">
            <v>41579</v>
          </cell>
          <cell r="G762" t="str">
            <v>29</v>
          </cell>
          <cell r="H762" t="str">
            <v>E5</v>
          </cell>
          <cell r="I762" t="str">
            <v>Básico</v>
          </cell>
          <cell r="J762">
            <v>1347.47</v>
          </cell>
          <cell r="K762" t="str">
            <v>Parc Autonoma</v>
          </cell>
          <cell r="L762">
            <v>0</v>
          </cell>
        </row>
        <row r="763">
          <cell r="A763" t="str">
            <v>TV MAGIST PL CARR 30 20H</v>
          </cell>
          <cell r="B763" t="str">
            <v>TV MAGIST PL CARR</v>
          </cell>
          <cell r="C763" t="str">
            <v>Tabela de Valores Magistério Plano de Carreira</v>
          </cell>
          <cell r="D763" t="str">
            <v>20H</v>
          </cell>
          <cell r="E763">
            <v>41579</v>
          </cell>
          <cell r="G763" t="str">
            <v>30</v>
          </cell>
          <cell r="H763" t="str">
            <v>E6</v>
          </cell>
          <cell r="I763" t="str">
            <v>Básico</v>
          </cell>
          <cell r="J763">
            <v>1456.72</v>
          </cell>
          <cell r="K763" t="str">
            <v>Parc Autonoma</v>
          </cell>
          <cell r="L763">
            <v>0</v>
          </cell>
        </row>
        <row r="764">
          <cell r="A764" t="str">
            <v>TV MAGIST PL CARR 31 20H</v>
          </cell>
          <cell r="B764" t="str">
            <v>TV MAGIST PL CARR</v>
          </cell>
          <cell r="C764" t="str">
            <v>Tabela de Valores Magistério Plano de Carreira</v>
          </cell>
          <cell r="D764" t="str">
            <v>20H</v>
          </cell>
          <cell r="E764">
            <v>41579</v>
          </cell>
          <cell r="G764" t="str">
            <v>31</v>
          </cell>
          <cell r="H764" t="str">
            <v>F1</v>
          </cell>
          <cell r="I764" t="str">
            <v>Básico</v>
          </cell>
          <cell r="J764">
            <v>780.39</v>
          </cell>
          <cell r="K764" t="str">
            <v>Parc Autonoma</v>
          </cell>
          <cell r="L764">
            <v>0</v>
          </cell>
        </row>
        <row r="765">
          <cell r="A765" t="str">
            <v>TV MAGIST PL CARR 32 20H</v>
          </cell>
          <cell r="B765" t="str">
            <v>TV MAGIST PL CARR</v>
          </cell>
          <cell r="C765" t="str">
            <v>Tabela de Valores Magistério Plano de Carreira</v>
          </cell>
          <cell r="D765" t="str">
            <v>20H</v>
          </cell>
          <cell r="E765">
            <v>41579</v>
          </cell>
          <cell r="G765" t="str">
            <v>32</v>
          </cell>
          <cell r="H765" t="str">
            <v>F2</v>
          </cell>
          <cell r="I765" t="str">
            <v>Básico</v>
          </cell>
          <cell r="J765">
            <v>897.44</v>
          </cell>
          <cell r="K765" t="str">
            <v>Parc Autonoma</v>
          </cell>
          <cell r="L765">
            <v>0</v>
          </cell>
        </row>
        <row r="766">
          <cell r="A766" t="str">
            <v>TV MAGIST PL CARR 33 20H</v>
          </cell>
          <cell r="B766" t="str">
            <v>TV MAGIST PL CARR</v>
          </cell>
          <cell r="C766" t="str">
            <v>Tabela de Valores Magistério Plano de Carreira</v>
          </cell>
          <cell r="D766" t="str">
            <v>20H</v>
          </cell>
          <cell r="E766">
            <v>41579</v>
          </cell>
          <cell r="G766" t="str">
            <v>33</v>
          </cell>
          <cell r="H766" t="str">
            <v>F3</v>
          </cell>
          <cell r="I766" t="str">
            <v>Básico</v>
          </cell>
          <cell r="J766">
            <v>1014.5</v>
          </cell>
          <cell r="K766" t="str">
            <v>Parc Autonoma</v>
          </cell>
          <cell r="L766">
            <v>0</v>
          </cell>
        </row>
        <row r="767">
          <cell r="A767" t="str">
            <v>TV MAGIST PL CARR 34 20H</v>
          </cell>
          <cell r="B767" t="str">
            <v>TV MAGIST PL CARR</v>
          </cell>
          <cell r="C767" t="str">
            <v>Tabela de Valores Magistério Plano de Carreira</v>
          </cell>
          <cell r="D767" t="str">
            <v>20H</v>
          </cell>
          <cell r="E767">
            <v>41579</v>
          </cell>
          <cell r="G767" t="str">
            <v>34</v>
          </cell>
          <cell r="H767" t="str">
            <v>F4</v>
          </cell>
          <cell r="I767" t="str">
            <v>Básico</v>
          </cell>
          <cell r="J767">
            <v>1170.58</v>
          </cell>
          <cell r="K767" t="str">
            <v>Parc Autonoma</v>
          </cell>
          <cell r="L767">
            <v>0</v>
          </cell>
        </row>
        <row r="768">
          <cell r="A768" t="str">
            <v>TV MAGIST PL CARR 35 20H</v>
          </cell>
          <cell r="B768" t="str">
            <v>TV MAGIST PL CARR</v>
          </cell>
          <cell r="C768" t="str">
            <v>Tabela de Valores Magistério Plano de Carreira</v>
          </cell>
          <cell r="D768" t="str">
            <v>20H</v>
          </cell>
          <cell r="E768">
            <v>41579</v>
          </cell>
          <cell r="G768" t="str">
            <v>35</v>
          </cell>
          <cell r="H768" t="str">
            <v>F5</v>
          </cell>
          <cell r="I768" t="str">
            <v>Básico</v>
          </cell>
          <cell r="J768">
            <v>1443.72</v>
          </cell>
          <cell r="K768" t="str">
            <v>Parc Autonoma</v>
          </cell>
          <cell r="L768">
            <v>0</v>
          </cell>
        </row>
        <row r="769">
          <cell r="A769" t="str">
            <v>TV MAGIST PL CARR 36 20H</v>
          </cell>
          <cell r="B769" t="str">
            <v>TV MAGIST PL CARR</v>
          </cell>
          <cell r="C769" t="str">
            <v>Tabela de Valores Magistério Plano de Carreira</v>
          </cell>
          <cell r="D769" t="str">
            <v>20H</v>
          </cell>
          <cell r="E769">
            <v>41579</v>
          </cell>
          <cell r="G769" t="str">
            <v>36</v>
          </cell>
          <cell r="H769" t="str">
            <v>F6</v>
          </cell>
          <cell r="I769" t="str">
            <v>Básico</v>
          </cell>
          <cell r="J769">
            <v>1560.78</v>
          </cell>
          <cell r="K769" t="str">
            <v>Parc Autonoma</v>
          </cell>
          <cell r="L769">
            <v>0</v>
          </cell>
        </row>
        <row r="770">
          <cell r="A770" t="str">
            <v>TV MAGIST Q UNICO 01 20H</v>
          </cell>
          <cell r="B770" t="str">
            <v>TV MAGIST Q UNICO</v>
          </cell>
          <cell r="C770" t="str">
            <v>Tabela de Valores Magistério Quadro Unico</v>
          </cell>
          <cell r="D770" t="str">
            <v>20H</v>
          </cell>
          <cell r="E770">
            <v>41579</v>
          </cell>
          <cell r="G770" t="str">
            <v>01</v>
          </cell>
          <cell r="H770" t="str">
            <v>M1</v>
          </cell>
          <cell r="I770" t="str">
            <v>Básico</v>
          </cell>
          <cell r="J770">
            <v>520.26</v>
          </cell>
          <cell r="K770" t="str">
            <v>Parc Autonoma</v>
          </cell>
          <cell r="L770">
            <v>0</v>
          </cell>
        </row>
        <row r="771">
          <cell r="A771" t="str">
            <v>TV MAGIST Q UNICO 02 20H</v>
          </cell>
          <cell r="B771" t="str">
            <v>TV MAGIST Q UNICO</v>
          </cell>
          <cell r="C771" t="str">
            <v>Tabela de Valores Magistério Quadro Unico</v>
          </cell>
          <cell r="D771" t="str">
            <v>20H</v>
          </cell>
          <cell r="E771">
            <v>41579</v>
          </cell>
          <cell r="G771" t="str">
            <v>02</v>
          </cell>
          <cell r="H771" t="str">
            <v>M2</v>
          </cell>
          <cell r="I771" t="str">
            <v>Básico</v>
          </cell>
          <cell r="J771">
            <v>520.26</v>
          </cell>
          <cell r="K771" t="str">
            <v>Parc Autonoma</v>
          </cell>
          <cell r="L771">
            <v>0</v>
          </cell>
        </row>
        <row r="772">
          <cell r="A772" t="str">
            <v>TV MAGIST Q UNICO 03 20H</v>
          </cell>
          <cell r="B772" t="str">
            <v>TV MAGIST Q UNICO</v>
          </cell>
          <cell r="C772" t="str">
            <v>Tabela de Valores Magistério Quadro Unico</v>
          </cell>
          <cell r="D772" t="str">
            <v>20H</v>
          </cell>
          <cell r="E772">
            <v>41579</v>
          </cell>
          <cell r="G772" t="str">
            <v>03</v>
          </cell>
          <cell r="H772" t="str">
            <v>M3</v>
          </cell>
          <cell r="I772" t="str">
            <v>Básico</v>
          </cell>
          <cell r="J772">
            <v>558.64</v>
          </cell>
          <cell r="K772" t="str">
            <v>Parc Autonoma</v>
          </cell>
          <cell r="L772">
            <v>0</v>
          </cell>
        </row>
        <row r="773">
          <cell r="A773" t="str">
            <v>TV MAGIST Q UNICO 04 20H</v>
          </cell>
          <cell r="B773" t="str">
            <v>TV MAGIST Q UNICO</v>
          </cell>
          <cell r="C773" t="str">
            <v>Tabela de Valores Magistério Quadro Unico</v>
          </cell>
          <cell r="D773" t="str">
            <v>20H</v>
          </cell>
          <cell r="E773">
            <v>41579</v>
          </cell>
          <cell r="G773" t="str">
            <v>04</v>
          </cell>
          <cell r="H773" t="str">
            <v>M4</v>
          </cell>
          <cell r="I773" t="str">
            <v>Básico</v>
          </cell>
          <cell r="J773">
            <v>539.22</v>
          </cell>
          <cell r="K773" t="str">
            <v>Parc Autonoma</v>
          </cell>
          <cell r="L773">
            <v>0</v>
          </cell>
        </row>
        <row r="774">
          <cell r="A774" t="str">
            <v>TV MAGIST Q UNICO 05 20H</v>
          </cell>
          <cell r="B774" t="str">
            <v>TV MAGIST Q UNICO</v>
          </cell>
          <cell r="C774" t="str">
            <v>Tabela de Valores Magistério Quadro Unico</v>
          </cell>
          <cell r="D774" t="str">
            <v>20H</v>
          </cell>
          <cell r="E774">
            <v>41579</v>
          </cell>
          <cell r="G774" t="str">
            <v>05</v>
          </cell>
          <cell r="H774" t="str">
            <v>M5</v>
          </cell>
          <cell r="I774" t="str">
            <v>Básico</v>
          </cell>
          <cell r="J774">
            <v>738.59</v>
          </cell>
          <cell r="K774" t="str">
            <v>Parc Autonoma</v>
          </cell>
          <cell r="L774">
            <v>0</v>
          </cell>
        </row>
        <row r="775">
          <cell r="A775" t="str">
            <v>TV PGE PROCURADOR 01 40H</v>
          </cell>
          <cell r="B775" t="str">
            <v>TV PGE PROCURADOR</v>
          </cell>
          <cell r="C775" t="str">
            <v>Tabela de Valores PGE Procuradores</v>
          </cell>
          <cell r="D775" t="str">
            <v>40H</v>
          </cell>
          <cell r="E775">
            <v>41640</v>
          </cell>
          <cell r="G775" t="str">
            <v>01</v>
          </cell>
          <cell r="H775" t="str">
            <v>Inicial Substituto</v>
          </cell>
          <cell r="I775" t="str">
            <v>Básico</v>
          </cell>
          <cell r="J775">
            <v>0</v>
          </cell>
          <cell r="K775" t="str">
            <v>Produtividade</v>
          </cell>
          <cell r="L775">
            <v>0</v>
          </cell>
          <cell r="M775" t="str">
            <v>Subsídio</v>
          </cell>
          <cell r="N775">
            <v>0</v>
          </cell>
        </row>
        <row r="776">
          <cell r="A776" t="str">
            <v>TV PGE PROCURADOR 02 40H</v>
          </cell>
          <cell r="B776" t="str">
            <v>TV PGE PROCURADOR</v>
          </cell>
          <cell r="C776" t="str">
            <v>Tabela de Valores PGE Procuradores</v>
          </cell>
          <cell r="D776" t="str">
            <v>40H</v>
          </cell>
          <cell r="E776">
            <v>41640</v>
          </cell>
          <cell r="G776" t="str">
            <v>02</v>
          </cell>
          <cell r="H776" t="str">
            <v>Inicial</v>
          </cell>
          <cell r="I776" t="str">
            <v>Básico</v>
          </cell>
          <cell r="J776">
            <v>6285.9</v>
          </cell>
          <cell r="K776" t="str">
            <v>Produtividade</v>
          </cell>
          <cell r="L776">
            <v>0</v>
          </cell>
          <cell r="M776" t="str">
            <v>Subsídio</v>
          </cell>
          <cell r="N776">
            <v>18460.82</v>
          </cell>
        </row>
        <row r="777">
          <cell r="A777" t="str">
            <v>TV PGE PROCURADOR 03 40H</v>
          </cell>
          <cell r="B777" t="str">
            <v>TV PGE PROCURADOR</v>
          </cell>
          <cell r="C777" t="str">
            <v>Tabela de Valores PGE Procuradores</v>
          </cell>
          <cell r="D777" t="str">
            <v>40H</v>
          </cell>
          <cell r="E777">
            <v>41640</v>
          </cell>
          <cell r="G777" t="str">
            <v>03</v>
          </cell>
          <cell r="H777" t="str">
            <v>Intermediaria</v>
          </cell>
          <cell r="I777" t="str">
            <v>Básico</v>
          </cell>
          <cell r="J777">
            <v>6678.8</v>
          </cell>
          <cell r="K777" t="str">
            <v>Produtividade</v>
          </cell>
          <cell r="L777">
            <v>0</v>
          </cell>
          <cell r="M777" t="str">
            <v>Subsídio</v>
          </cell>
          <cell r="N777">
            <v>20512.03</v>
          </cell>
        </row>
        <row r="778">
          <cell r="A778" t="str">
            <v>TV PGE PROCURADOR 04 40H</v>
          </cell>
          <cell r="B778" t="str">
            <v>TV PGE PROCURADOR</v>
          </cell>
          <cell r="C778" t="str">
            <v>Tabela de Valores PGE Procuradores</v>
          </cell>
          <cell r="D778" t="str">
            <v>40H</v>
          </cell>
          <cell r="E778">
            <v>41640</v>
          </cell>
          <cell r="G778" t="str">
            <v>04</v>
          </cell>
          <cell r="H778" t="str">
            <v>Final</v>
          </cell>
          <cell r="I778" t="str">
            <v>Básico</v>
          </cell>
          <cell r="J778">
            <v>7071.6</v>
          </cell>
          <cell r="K778" t="str">
            <v>Produtividade</v>
          </cell>
          <cell r="L778">
            <v>0</v>
          </cell>
          <cell r="M778" t="str">
            <v>Subsídio</v>
          </cell>
          <cell r="N778">
            <v>22791.15</v>
          </cell>
        </row>
        <row r="779">
          <cell r="A779" t="str">
            <v>TV PGE PROCURADOR 05 40H</v>
          </cell>
          <cell r="B779" t="str">
            <v>TV PGE PROCURADOR</v>
          </cell>
          <cell r="C779" t="str">
            <v>Tabela de Valores PGE Procuradores</v>
          </cell>
          <cell r="D779" t="str">
            <v>40H</v>
          </cell>
          <cell r="E779">
            <v>41640</v>
          </cell>
          <cell r="G779" t="str">
            <v>05</v>
          </cell>
          <cell r="H779" t="str">
            <v>Superior</v>
          </cell>
          <cell r="I779" t="str">
            <v>Básico</v>
          </cell>
          <cell r="J779">
            <v>7857.3</v>
          </cell>
          <cell r="K779" t="str">
            <v>Produtividade</v>
          </cell>
          <cell r="L779">
            <v>0</v>
          </cell>
          <cell r="M779" t="str">
            <v>Subsídio</v>
          </cell>
          <cell r="N779">
            <v>25323.51</v>
          </cell>
        </row>
        <row r="780">
          <cell r="A780" t="str">
            <v>TV PGE PRODUTIVIDADE 01 40H</v>
          </cell>
          <cell r="B780" t="str">
            <v>TV PGE PRODUTIVIDADE</v>
          </cell>
          <cell r="C780" t="str">
            <v>Tabela de Valores PGE Produtividade</v>
          </cell>
          <cell r="D780" t="str">
            <v>40H</v>
          </cell>
          <cell r="E780">
            <v>41122</v>
          </cell>
          <cell r="G780" t="str">
            <v>01</v>
          </cell>
          <cell r="H780" t="str">
            <v>Procuradores</v>
          </cell>
          <cell r="I780" t="str">
            <v>ValorATIVO</v>
          </cell>
          <cell r="J780">
            <v>0</v>
          </cell>
          <cell r="K780" t="str">
            <v>ValorINATIVO</v>
          </cell>
          <cell r="L780">
            <v>0</v>
          </cell>
          <cell r="M780" t="str">
            <v>ValorVariável</v>
          </cell>
          <cell r="O780" t="str">
            <v>Valor Incorporado</v>
          </cell>
        </row>
        <row r="781">
          <cell r="A781" t="str">
            <v>TV PGE PRODUTIVIDADE 02 40H</v>
          </cell>
          <cell r="B781" t="str">
            <v>TV PGE PRODUTIVIDADE</v>
          </cell>
          <cell r="C781" t="str">
            <v>Tabela de Valores PGE Produtividade</v>
          </cell>
          <cell r="D781" t="str">
            <v>40H</v>
          </cell>
          <cell r="E781">
            <v>41122</v>
          </cell>
          <cell r="G781" t="str">
            <v>02</v>
          </cell>
          <cell r="H781" t="str">
            <v>Procuradores s/subst</v>
          </cell>
          <cell r="I781" t="str">
            <v>ValorATIVO</v>
          </cell>
          <cell r="J781">
            <v>0</v>
          </cell>
          <cell r="K781" t="str">
            <v>ValorINATIVO</v>
          </cell>
          <cell r="L781">
            <v>0</v>
          </cell>
          <cell r="M781" t="str">
            <v>ValorVariável</v>
          </cell>
          <cell r="O781" t="str">
            <v>Valor Incorporado</v>
          </cell>
        </row>
        <row r="782">
          <cell r="A782" t="str">
            <v>TV PGE PRODUTIVIDADE 03 40H</v>
          </cell>
          <cell r="B782" t="str">
            <v>TV PGE PRODUTIVIDADE</v>
          </cell>
          <cell r="C782" t="str">
            <v>Tabela de Valores PGE Produtividade</v>
          </cell>
          <cell r="D782" t="str">
            <v>40H</v>
          </cell>
          <cell r="E782">
            <v>41122</v>
          </cell>
          <cell r="G782" t="str">
            <v>03</v>
          </cell>
          <cell r="H782" t="str">
            <v>Aux.Serv. Gerais</v>
          </cell>
          <cell r="I782" t="str">
            <v>ValorATIVO</v>
          </cell>
          <cell r="J782">
            <v>0</v>
          </cell>
          <cell r="K782" t="str">
            <v>ValorINATIVO</v>
          </cell>
          <cell r="L782">
            <v>0</v>
          </cell>
          <cell r="M782" t="str">
            <v>ValorVariável</v>
          </cell>
          <cell r="O782" t="str">
            <v>Valor Incorporado</v>
          </cell>
        </row>
        <row r="783">
          <cell r="A783" t="str">
            <v>TV PGE PRODUTIVIDADE 04 40H</v>
          </cell>
          <cell r="B783" t="str">
            <v>TV PGE PRODUTIVIDADE</v>
          </cell>
          <cell r="C783" t="str">
            <v>Tabela de Valores PGE Produtividade</v>
          </cell>
          <cell r="D783" t="str">
            <v>40H</v>
          </cell>
          <cell r="E783">
            <v>41122</v>
          </cell>
          <cell r="G783" t="str">
            <v>04</v>
          </cell>
          <cell r="H783" t="str">
            <v>Motorista</v>
          </cell>
          <cell r="I783" t="str">
            <v>ValorATIVO</v>
          </cell>
          <cell r="J783">
            <v>0</v>
          </cell>
          <cell r="K783" t="str">
            <v>ValorINATIVO</v>
          </cell>
          <cell r="L783">
            <v>0</v>
          </cell>
          <cell r="M783" t="str">
            <v>ValorVariável</v>
          </cell>
          <cell r="O783" t="str">
            <v>Valor Incorporado</v>
          </cell>
        </row>
        <row r="784">
          <cell r="A784" t="str">
            <v>TV PGE PRODUTIVIDADE 05 40H</v>
          </cell>
          <cell r="B784" t="str">
            <v>TV PGE PRODUTIVIDADE</v>
          </cell>
          <cell r="C784" t="str">
            <v>Tabela de Valores PGE Produtividade</v>
          </cell>
          <cell r="D784" t="str">
            <v>40H</v>
          </cell>
          <cell r="E784">
            <v>41122</v>
          </cell>
          <cell r="G784" t="str">
            <v>05</v>
          </cell>
          <cell r="H784" t="str">
            <v>Aux.Administrativo</v>
          </cell>
          <cell r="I784" t="str">
            <v>ValorATIVO</v>
          </cell>
          <cell r="J784">
            <v>0</v>
          </cell>
          <cell r="K784" t="str">
            <v>ValorINATIVO</v>
          </cell>
          <cell r="L784">
            <v>0</v>
          </cell>
          <cell r="M784" t="str">
            <v>ValorVariável</v>
          </cell>
          <cell r="O784" t="str">
            <v>Valor Incorporado</v>
          </cell>
        </row>
        <row r="785">
          <cell r="A785" t="str">
            <v>TV PGE PRODUTIVIDADE 06 40H</v>
          </cell>
          <cell r="B785" t="str">
            <v>TV PGE PRODUTIVIDADE</v>
          </cell>
          <cell r="C785" t="str">
            <v>Tabela de Valores PGE Produtividade</v>
          </cell>
          <cell r="D785" t="str">
            <v>40H</v>
          </cell>
          <cell r="E785">
            <v>41122</v>
          </cell>
          <cell r="G785" t="str">
            <v>06</v>
          </cell>
          <cell r="H785" t="str">
            <v>Agente Administr.</v>
          </cell>
          <cell r="I785" t="str">
            <v>ValorATIVO</v>
          </cell>
          <cell r="J785">
            <v>0</v>
          </cell>
          <cell r="K785" t="str">
            <v>ValorINATIVO</v>
          </cell>
          <cell r="L785">
            <v>0</v>
          </cell>
          <cell r="M785" t="str">
            <v>ValorVariável</v>
          </cell>
          <cell r="O785" t="str">
            <v>Valor Incorporado</v>
          </cell>
        </row>
        <row r="786">
          <cell r="A786" t="str">
            <v>TV PGE PRODUTIVIDADE 07 40H</v>
          </cell>
          <cell r="B786" t="str">
            <v>TV PGE PRODUTIVIDADE</v>
          </cell>
          <cell r="C786" t="str">
            <v>Tabela de Valores PGE Produtividade</v>
          </cell>
          <cell r="D786" t="str">
            <v>40H</v>
          </cell>
          <cell r="E786">
            <v>41122</v>
          </cell>
          <cell r="G786" t="str">
            <v>07</v>
          </cell>
          <cell r="H786" t="str">
            <v>Assesor</v>
          </cell>
          <cell r="I786" t="str">
            <v>ValorATIVO</v>
          </cell>
          <cell r="J786">
            <v>0</v>
          </cell>
          <cell r="K786" t="str">
            <v>ValorINATIVO</v>
          </cell>
          <cell r="L786">
            <v>0</v>
          </cell>
          <cell r="M786" t="str">
            <v>ValorVariável</v>
          </cell>
          <cell r="O786" t="str">
            <v>Valor Incorporado</v>
          </cell>
        </row>
        <row r="787">
          <cell r="A787" t="str">
            <v>TV PGE PRODUTIVIDADE 11 40H</v>
          </cell>
          <cell r="B787" t="str">
            <v>TV PGE PRODUTIVIDADE</v>
          </cell>
          <cell r="C787" t="str">
            <v>Tabela de Valores PGE Produtividade</v>
          </cell>
          <cell r="D787" t="str">
            <v>40H</v>
          </cell>
          <cell r="E787">
            <v>41122</v>
          </cell>
          <cell r="G787" t="str">
            <v>11</v>
          </cell>
          <cell r="H787" t="str">
            <v>Procurador Superior</v>
          </cell>
          <cell r="I787" t="str">
            <v>ValorATIVO</v>
          </cell>
          <cell r="J787">
            <v>0</v>
          </cell>
          <cell r="K787" t="str">
            <v>ValorINATIVO</v>
          </cell>
          <cell r="L787">
            <v>0</v>
          </cell>
          <cell r="M787" t="str">
            <v>ValorVariável</v>
          </cell>
          <cell r="O787" t="str">
            <v>Valor Incorporado</v>
          </cell>
        </row>
        <row r="788">
          <cell r="A788" t="str">
            <v>TV PGE PRODUTIVIDADE 12 40H</v>
          </cell>
          <cell r="B788" t="str">
            <v>TV PGE PRODUTIVIDADE</v>
          </cell>
          <cell r="C788" t="str">
            <v>Tabela de Valores PGE Produtividade</v>
          </cell>
          <cell r="D788" t="str">
            <v>40H</v>
          </cell>
          <cell r="E788">
            <v>41122</v>
          </cell>
          <cell r="G788" t="str">
            <v>12</v>
          </cell>
          <cell r="H788" t="str">
            <v>Procurador Final</v>
          </cell>
          <cell r="I788" t="str">
            <v>ValorATIVO</v>
          </cell>
          <cell r="J788">
            <v>0</v>
          </cell>
          <cell r="K788" t="str">
            <v>ValorINATIVO</v>
          </cell>
          <cell r="L788">
            <v>0</v>
          </cell>
          <cell r="M788" t="str">
            <v>ValorVariável</v>
          </cell>
          <cell r="O788" t="str">
            <v>Valor Incorporado</v>
          </cell>
        </row>
        <row r="789">
          <cell r="A789" t="str">
            <v>TV PGE PRODUTIVIDADE 13 40H</v>
          </cell>
          <cell r="B789" t="str">
            <v>TV PGE PRODUTIVIDADE</v>
          </cell>
          <cell r="C789" t="str">
            <v>Tabela de Valores PGE Produtividade</v>
          </cell>
          <cell r="D789" t="str">
            <v>40H</v>
          </cell>
          <cell r="E789">
            <v>41122</v>
          </cell>
          <cell r="G789" t="str">
            <v>13</v>
          </cell>
          <cell r="H789" t="str">
            <v>Procurador Intermediária</v>
          </cell>
          <cell r="I789" t="str">
            <v>ValorATIVO</v>
          </cell>
          <cell r="J789">
            <v>0</v>
          </cell>
          <cell r="K789" t="str">
            <v>ValorINATIVO</v>
          </cell>
          <cell r="L789">
            <v>0</v>
          </cell>
          <cell r="M789" t="str">
            <v>ValorVariável</v>
          </cell>
          <cell r="O789" t="str">
            <v>Valor Incorporado</v>
          </cell>
        </row>
        <row r="790">
          <cell r="A790" t="str">
            <v>TV PGE PRODUTIVIDADE 14 40H</v>
          </cell>
          <cell r="B790" t="str">
            <v>TV PGE PRODUTIVIDADE</v>
          </cell>
          <cell r="C790" t="str">
            <v>Tabela de Valores PGE Produtividade</v>
          </cell>
          <cell r="D790" t="str">
            <v>40H</v>
          </cell>
          <cell r="E790">
            <v>41122</v>
          </cell>
          <cell r="G790" t="str">
            <v>14</v>
          </cell>
          <cell r="H790" t="str">
            <v>Procurador Inicial</v>
          </cell>
          <cell r="I790" t="str">
            <v>ValorATIVO</v>
          </cell>
          <cell r="J790">
            <v>0</v>
          </cell>
          <cell r="K790" t="str">
            <v>ValorINATIVO</v>
          </cell>
          <cell r="L790">
            <v>0</v>
          </cell>
          <cell r="M790" t="str">
            <v>ValorVariável</v>
          </cell>
          <cell r="O790" t="str">
            <v>Valor Incorporado</v>
          </cell>
        </row>
        <row r="791">
          <cell r="A791" t="str">
            <v>TV PGE PRODUTIVIDADE 15 40H</v>
          </cell>
          <cell r="B791" t="str">
            <v>TV PGE PRODUTIVIDADE</v>
          </cell>
          <cell r="C791" t="str">
            <v>Tabela de Valores PGE Produtividade</v>
          </cell>
          <cell r="D791" t="str">
            <v>40H</v>
          </cell>
          <cell r="E791">
            <v>41122</v>
          </cell>
          <cell r="G791" t="str">
            <v>15</v>
          </cell>
          <cell r="H791" t="str">
            <v>Procurador GD Superior</v>
          </cell>
          <cell r="I791" t="str">
            <v>ValorATIVO</v>
          </cell>
          <cell r="J791">
            <v>0</v>
          </cell>
          <cell r="K791" t="str">
            <v>ValorINATIVO</v>
          </cell>
          <cell r="L791">
            <v>0</v>
          </cell>
          <cell r="M791" t="str">
            <v>ValorVariável</v>
          </cell>
          <cell r="O791" t="str">
            <v>Valor Incorporado</v>
          </cell>
        </row>
        <row r="792">
          <cell r="A792" t="str">
            <v>TV PGE PRODUTIVIDADE 16 40H</v>
          </cell>
          <cell r="B792" t="str">
            <v>TV PGE PRODUTIVIDADE</v>
          </cell>
          <cell r="C792" t="str">
            <v>Tabela de Valores PGE Produtividade</v>
          </cell>
          <cell r="D792" t="str">
            <v>40H</v>
          </cell>
          <cell r="E792">
            <v>41122</v>
          </cell>
          <cell r="G792" t="str">
            <v>16</v>
          </cell>
          <cell r="H792" t="str">
            <v>Procurador GD Final</v>
          </cell>
          <cell r="I792" t="str">
            <v>ValorATIVO</v>
          </cell>
          <cell r="J792">
            <v>0</v>
          </cell>
          <cell r="K792" t="str">
            <v>ValorINATIVO</v>
          </cell>
          <cell r="L792">
            <v>0</v>
          </cell>
          <cell r="M792" t="str">
            <v>ValorVariável</v>
          </cell>
          <cell r="O792" t="str">
            <v>Valor Incorporado</v>
          </cell>
        </row>
        <row r="793">
          <cell r="A793" t="str">
            <v>TV PGE PRODUTIVIDADE 17 40H</v>
          </cell>
          <cell r="B793" t="str">
            <v>TV PGE PRODUTIVIDADE</v>
          </cell>
          <cell r="C793" t="str">
            <v>Tabela de Valores PGE Produtividade</v>
          </cell>
          <cell r="D793" t="str">
            <v>40H</v>
          </cell>
          <cell r="E793">
            <v>41122</v>
          </cell>
          <cell r="G793" t="str">
            <v>17</v>
          </cell>
          <cell r="H793" t="str">
            <v>Procurador GD Intermediária</v>
          </cell>
          <cell r="I793" t="str">
            <v>ValorATIVO</v>
          </cell>
          <cell r="J793">
            <v>0</v>
          </cell>
          <cell r="K793" t="str">
            <v>ValorINATIVO</v>
          </cell>
          <cell r="L793">
            <v>0</v>
          </cell>
          <cell r="M793" t="str">
            <v>ValorVariável</v>
          </cell>
          <cell r="O793" t="str">
            <v>Valor Incorporado</v>
          </cell>
        </row>
        <row r="794">
          <cell r="A794" t="str">
            <v>TV PGE PRODUTIVIDADE 18 40H</v>
          </cell>
          <cell r="B794" t="str">
            <v>TV PGE PRODUTIVIDADE</v>
          </cell>
          <cell r="C794" t="str">
            <v>Tabela de Valores PGE Produtividade</v>
          </cell>
          <cell r="D794" t="str">
            <v>40H</v>
          </cell>
          <cell r="E794">
            <v>41122</v>
          </cell>
          <cell r="G794" t="str">
            <v>18</v>
          </cell>
          <cell r="H794" t="str">
            <v>Procurador GD Inicial</v>
          </cell>
          <cell r="I794" t="str">
            <v>ValorATIVO</v>
          </cell>
          <cell r="J794">
            <v>0</v>
          </cell>
          <cell r="K794" t="str">
            <v>ValorINATIVO</v>
          </cell>
          <cell r="L794">
            <v>0</v>
          </cell>
          <cell r="M794" t="str">
            <v>ValorVariável</v>
          </cell>
          <cell r="O794" t="str">
            <v>Valor Incorporado</v>
          </cell>
        </row>
        <row r="795">
          <cell r="A795" t="str">
            <v>TV PGE PRODUTIVIDADE 19 40H</v>
          </cell>
          <cell r="B795" t="str">
            <v>TV PGE PRODUTIVIDADE</v>
          </cell>
          <cell r="C795" t="str">
            <v>Tabela de Valores PGE Produtividade</v>
          </cell>
          <cell r="D795" t="str">
            <v>40H</v>
          </cell>
          <cell r="E795">
            <v>41122</v>
          </cell>
          <cell r="G795" t="str">
            <v>19</v>
          </cell>
          <cell r="H795" t="str">
            <v>Servidores - Grupo A</v>
          </cell>
          <cell r="I795" t="str">
            <v>ValorATIVO</v>
          </cell>
          <cell r="J795">
            <v>0</v>
          </cell>
          <cell r="K795" t="str">
            <v>ValorINATIVO</v>
          </cell>
          <cell r="L795">
            <v>0</v>
          </cell>
          <cell r="M795" t="str">
            <v>ValorVariável</v>
          </cell>
          <cell r="N795">
            <v>0</v>
          </cell>
          <cell r="O795" t="str">
            <v>Valor Incorporado</v>
          </cell>
        </row>
        <row r="796">
          <cell r="A796" t="str">
            <v>TV PGE PRODUTIVIDADE 20 40H</v>
          </cell>
          <cell r="B796" t="str">
            <v>TV PGE PRODUTIVIDADE</v>
          </cell>
          <cell r="C796" t="str">
            <v>Tabela de Valores PGE Produtividade</v>
          </cell>
          <cell r="D796" t="str">
            <v>40H</v>
          </cell>
          <cell r="E796">
            <v>41122</v>
          </cell>
          <cell r="G796" t="str">
            <v>20</v>
          </cell>
          <cell r="H796" t="str">
            <v>Servidores - Grupo B</v>
          </cell>
          <cell r="I796" t="str">
            <v>ValorATIVO</v>
          </cell>
          <cell r="J796">
            <v>0</v>
          </cell>
          <cell r="K796" t="str">
            <v>ValorINATIVO</v>
          </cell>
          <cell r="L796">
            <v>0</v>
          </cell>
          <cell r="M796" t="str">
            <v>ValorVariável</v>
          </cell>
          <cell r="N796">
            <v>0</v>
          </cell>
          <cell r="O796" t="str">
            <v>Valor Incorporado</v>
          </cell>
          <cell r="P796">
            <v>1250.36</v>
          </cell>
        </row>
        <row r="797">
          <cell r="A797" t="str">
            <v>TV PGE PRODUTIVIDADE 21 40H</v>
          </cell>
          <cell r="B797" t="str">
            <v>TV PGE PRODUTIVIDADE</v>
          </cell>
          <cell r="C797" t="str">
            <v>Tabela de Valores PGE Produtividade</v>
          </cell>
          <cell r="D797" t="str">
            <v>40H</v>
          </cell>
          <cell r="E797">
            <v>41122</v>
          </cell>
          <cell r="G797" t="str">
            <v>21</v>
          </cell>
          <cell r="H797" t="str">
            <v>Servidores - Grupo C</v>
          </cell>
          <cell r="I797" t="str">
            <v>ValorATIVO</v>
          </cell>
          <cell r="J797">
            <v>0</v>
          </cell>
          <cell r="K797" t="str">
            <v>ValorINATIVO</v>
          </cell>
          <cell r="L797">
            <v>0</v>
          </cell>
          <cell r="M797" t="str">
            <v>ValorVariável</v>
          </cell>
          <cell r="N797">
            <v>0</v>
          </cell>
          <cell r="O797" t="str">
            <v>Valor Incorporado</v>
          </cell>
        </row>
        <row r="798">
          <cell r="A798" t="str">
            <v>TV PGE SERV AUX 01 40H</v>
          </cell>
          <cell r="B798" t="str">
            <v>TV PGE SERV AUX</v>
          </cell>
          <cell r="C798" t="str">
            <v>Tabela de Valores PGE Servidores Serviços Auxiliares</v>
          </cell>
          <cell r="D798" t="str">
            <v>40H</v>
          </cell>
          <cell r="E798">
            <v>41395</v>
          </cell>
          <cell r="G798" t="str">
            <v>01</v>
          </cell>
          <cell r="H798" t="str">
            <v>Cl. G - NIVEL I</v>
          </cell>
          <cell r="I798" t="str">
            <v>Básico</v>
          </cell>
          <cell r="J798">
            <v>2178.31</v>
          </cell>
          <cell r="K798" t="str">
            <v>Produtividade</v>
          </cell>
          <cell r="L798">
            <v>19</v>
          </cell>
          <cell r="M798" t="str">
            <v>Prod. Variável</v>
          </cell>
          <cell r="N798">
            <v>19</v>
          </cell>
        </row>
        <row r="799">
          <cell r="A799" t="str">
            <v>TV PGE SERV AUX 02 40H</v>
          </cell>
          <cell r="B799" t="str">
            <v>TV PGE SERV AUX</v>
          </cell>
          <cell r="C799" t="str">
            <v>Tabela de Valores PGE Servidores Serviços Auxiliares</v>
          </cell>
          <cell r="D799" t="str">
            <v>40H</v>
          </cell>
          <cell r="E799">
            <v>41395</v>
          </cell>
          <cell r="G799" t="str">
            <v>02</v>
          </cell>
          <cell r="H799" t="str">
            <v>Cl. G - NIVEL II</v>
          </cell>
          <cell r="I799" t="str">
            <v>Básico</v>
          </cell>
          <cell r="J799">
            <v>2396.14</v>
          </cell>
          <cell r="K799" t="str">
            <v>Produtividade</v>
          </cell>
          <cell r="L799">
            <v>19</v>
          </cell>
          <cell r="M799" t="str">
            <v>Prod. Variável</v>
          </cell>
          <cell r="N799">
            <v>19</v>
          </cell>
        </row>
        <row r="800">
          <cell r="A800" t="str">
            <v>TV PGE SERV AUX 03 40H</v>
          </cell>
          <cell r="B800" t="str">
            <v>TV PGE SERV AUX</v>
          </cell>
          <cell r="C800" t="str">
            <v>Tabela de Valores PGE Servidores Serviços Auxiliares</v>
          </cell>
          <cell r="D800" t="str">
            <v>40H</v>
          </cell>
          <cell r="E800">
            <v>41395</v>
          </cell>
          <cell r="G800" t="str">
            <v>03</v>
          </cell>
          <cell r="H800" t="str">
            <v>Cl. H - NIVEL I</v>
          </cell>
          <cell r="I800" t="str">
            <v>Básico</v>
          </cell>
          <cell r="J800">
            <v>2635.75</v>
          </cell>
          <cell r="K800" t="str">
            <v>Produtividade</v>
          </cell>
          <cell r="L800">
            <v>19</v>
          </cell>
          <cell r="M800" t="str">
            <v>Prod. Variável</v>
          </cell>
          <cell r="N800">
            <v>19</v>
          </cell>
        </row>
        <row r="801">
          <cell r="A801" t="str">
            <v>TV PGE SERV AUX 04 40H</v>
          </cell>
          <cell r="B801" t="str">
            <v>TV PGE SERV AUX</v>
          </cell>
          <cell r="C801" t="str">
            <v>Tabela de Valores PGE Servidores Serviços Auxiliares</v>
          </cell>
          <cell r="D801" t="str">
            <v>40H</v>
          </cell>
          <cell r="E801">
            <v>41395</v>
          </cell>
          <cell r="G801" t="str">
            <v>04</v>
          </cell>
          <cell r="H801" t="str">
            <v>Cl. H - NIVEL II</v>
          </cell>
          <cell r="I801" t="str">
            <v>Básico</v>
          </cell>
          <cell r="J801">
            <v>2899.33</v>
          </cell>
          <cell r="K801" t="str">
            <v>Produtividade</v>
          </cell>
          <cell r="L801">
            <v>19</v>
          </cell>
          <cell r="M801" t="str">
            <v>Prod. Variável</v>
          </cell>
          <cell r="N801">
            <v>19</v>
          </cell>
        </row>
        <row r="802">
          <cell r="A802" t="str">
            <v>TV PGE SERV AUX 05 40H</v>
          </cell>
          <cell r="B802" t="str">
            <v>TV PGE SERV AUX</v>
          </cell>
          <cell r="C802" t="str">
            <v>Tabela de Valores PGE Servidores Serviços Auxiliares</v>
          </cell>
          <cell r="D802" t="str">
            <v>40H</v>
          </cell>
          <cell r="E802">
            <v>41395</v>
          </cell>
          <cell r="G802" t="str">
            <v>05</v>
          </cell>
          <cell r="H802" t="str">
            <v>Cl. I - NIVEL I</v>
          </cell>
          <cell r="I802" t="str">
            <v>Básico</v>
          </cell>
          <cell r="J802">
            <v>3189.26</v>
          </cell>
          <cell r="K802" t="str">
            <v>Produtividade</v>
          </cell>
          <cell r="L802">
            <v>19</v>
          </cell>
          <cell r="M802" t="str">
            <v>Prod. Variável</v>
          </cell>
          <cell r="N802">
            <v>19</v>
          </cell>
        </row>
        <row r="803">
          <cell r="A803" t="str">
            <v>TV PGE SERV AUX 06 40H</v>
          </cell>
          <cell r="B803" t="str">
            <v>TV PGE SERV AUX</v>
          </cell>
          <cell r="C803" t="str">
            <v>Tabela de Valores PGE Servidores Serviços Auxiliares</v>
          </cell>
          <cell r="D803" t="str">
            <v>40H</v>
          </cell>
          <cell r="E803">
            <v>41395</v>
          </cell>
          <cell r="G803" t="str">
            <v>06</v>
          </cell>
          <cell r="H803" t="str">
            <v>Cl. I - NIVEL II</v>
          </cell>
          <cell r="I803" t="str">
            <v>Básico</v>
          </cell>
          <cell r="J803">
            <v>3508.19</v>
          </cell>
          <cell r="K803" t="str">
            <v>Produtividade</v>
          </cell>
          <cell r="L803">
            <v>19</v>
          </cell>
          <cell r="M803" t="str">
            <v>Prod. Variável</v>
          </cell>
          <cell r="N803">
            <v>19</v>
          </cell>
        </row>
        <row r="804">
          <cell r="A804" t="str">
            <v>TV PGE SERV AUX 07 40H</v>
          </cell>
          <cell r="B804" t="str">
            <v>TV PGE SERV AUX</v>
          </cell>
          <cell r="C804" t="str">
            <v>Tabela de Valores PGE Servidores Serviços Auxiliares</v>
          </cell>
          <cell r="D804" t="str">
            <v>40H</v>
          </cell>
          <cell r="E804">
            <v>41395</v>
          </cell>
          <cell r="G804" t="str">
            <v>07</v>
          </cell>
          <cell r="H804" t="str">
            <v>Cl. J - NIVEL I</v>
          </cell>
          <cell r="I804" t="str">
            <v>Básico</v>
          </cell>
          <cell r="J804">
            <v>3859</v>
          </cell>
          <cell r="K804" t="str">
            <v>Produtividade</v>
          </cell>
          <cell r="L804">
            <v>19</v>
          </cell>
          <cell r="M804" t="str">
            <v>Prod. Variável</v>
          </cell>
          <cell r="N804">
            <v>19</v>
          </cell>
        </row>
        <row r="805">
          <cell r="A805" t="str">
            <v>TV PGE SERV AUX 08 40H</v>
          </cell>
          <cell r="B805" t="str">
            <v>TV PGE SERV AUX</v>
          </cell>
          <cell r="C805" t="str">
            <v>Tabela de Valores PGE Servidores Serviços Auxiliares</v>
          </cell>
          <cell r="D805" t="str">
            <v>40H</v>
          </cell>
          <cell r="E805">
            <v>41395</v>
          </cell>
          <cell r="G805" t="str">
            <v>08</v>
          </cell>
          <cell r="H805" t="str">
            <v>Cl. J - NIVEL II</v>
          </cell>
          <cell r="I805" t="str">
            <v>Básico</v>
          </cell>
          <cell r="J805">
            <v>4244.9</v>
          </cell>
          <cell r="K805" t="str">
            <v>Produtividade</v>
          </cell>
          <cell r="L805">
            <v>19</v>
          </cell>
          <cell r="M805" t="str">
            <v>Prod. Variável</v>
          </cell>
          <cell r="N805">
            <v>19</v>
          </cell>
        </row>
        <row r="806">
          <cell r="A806" t="str">
            <v>TV PGE SERV AUX 09 40H</v>
          </cell>
          <cell r="B806" t="str">
            <v>TV PGE SERV AUX</v>
          </cell>
          <cell r="C806" t="str">
            <v>Tabela de Valores PGE Servidores Serviços Auxiliares</v>
          </cell>
          <cell r="D806" t="str">
            <v>40H</v>
          </cell>
          <cell r="E806">
            <v>41395</v>
          </cell>
          <cell r="G806" t="str">
            <v>09</v>
          </cell>
          <cell r="H806" t="str">
            <v>Cl. K - NIVEL I</v>
          </cell>
          <cell r="I806" t="str">
            <v>Básico</v>
          </cell>
          <cell r="J806">
            <v>4669.4</v>
          </cell>
          <cell r="K806" t="str">
            <v>Produtividade</v>
          </cell>
          <cell r="L806">
            <v>19</v>
          </cell>
          <cell r="M806" t="str">
            <v>Prod. Variável</v>
          </cell>
          <cell r="N806">
            <v>19</v>
          </cell>
        </row>
        <row r="807">
          <cell r="A807" t="str">
            <v>TV PGE SERV AUX 10 40H</v>
          </cell>
          <cell r="B807" t="str">
            <v>TV PGE SERV AUX</v>
          </cell>
          <cell r="C807" t="str">
            <v>Tabela de Valores PGE Servidores Serviços Auxiliares</v>
          </cell>
          <cell r="D807" t="str">
            <v>40H</v>
          </cell>
          <cell r="E807">
            <v>41395</v>
          </cell>
          <cell r="G807" t="str">
            <v>10</v>
          </cell>
          <cell r="H807" t="str">
            <v>Cl. K - NIVEL II</v>
          </cell>
          <cell r="I807" t="str">
            <v>Básico</v>
          </cell>
          <cell r="J807">
            <v>5136.34</v>
          </cell>
          <cell r="K807" t="str">
            <v>Produtividade</v>
          </cell>
          <cell r="L807">
            <v>19</v>
          </cell>
          <cell r="M807" t="str">
            <v>Prod. Variável</v>
          </cell>
          <cell r="N807">
            <v>19</v>
          </cell>
        </row>
        <row r="808">
          <cell r="A808" t="str">
            <v>TV PGE SERV AUX 11 40H</v>
          </cell>
          <cell r="B808" t="str">
            <v>TV PGE SERV AUX</v>
          </cell>
          <cell r="C808" t="str">
            <v>Tabela de Valores PGE Servidores Serviços Auxiliares</v>
          </cell>
          <cell r="D808" t="str">
            <v>40H</v>
          </cell>
          <cell r="E808">
            <v>41395</v>
          </cell>
          <cell r="G808" t="str">
            <v>11</v>
          </cell>
          <cell r="H808" t="str">
            <v>Cl. M - NIVEL I</v>
          </cell>
          <cell r="I808" t="str">
            <v>Básico</v>
          </cell>
          <cell r="J808">
            <v>2685.79</v>
          </cell>
          <cell r="K808" t="str">
            <v>Produtividade</v>
          </cell>
          <cell r="L808">
            <v>20</v>
          </cell>
          <cell r="M808" t="str">
            <v>Prod. Variável</v>
          </cell>
          <cell r="N808">
            <v>20</v>
          </cell>
        </row>
        <row r="809">
          <cell r="A809" t="str">
            <v>TV PGE SERV AUX 12 40H</v>
          </cell>
          <cell r="B809" t="str">
            <v>TV PGE SERV AUX</v>
          </cell>
          <cell r="C809" t="str">
            <v>Tabela de Valores PGE Servidores Serviços Auxiliares</v>
          </cell>
          <cell r="D809" t="str">
            <v>40H</v>
          </cell>
          <cell r="E809">
            <v>41395</v>
          </cell>
          <cell r="G809" t="str">
            <v>12</v>
          </cell>
          <cell r="H809" t="str">
            <v>Cl. M - NIVEL II</v>
          </cell>
          <cell r="I809" t="str">
            <v>Básico</v>
          </cell>
          <cell r="J809">
            <v>2954.36</v>
          </cell>
          <cell r="K809" t="str">
            <v>Produtividade</v>
          </cell>
          <cell r="L809">
            <v>20</v>
          </cell>
          <cell r="M809" t="str">
            <v>Prod. Variável</v>
          </cell>
          <cell r="N809">
            <v>20</v>
          </cell>
        </row>
        <row r="810">
          <cell r="A810" t="str">
            <v>TV PGE SERV AUX 13 40H</v>
          </cell>
          <cell r="B810" t="str">
            <v>TV PGE SERV AUX</v>
          </cell>
          <cell r="C810" t="str">
            <v>Tabela de Valores PGE Servidores Serviços Auxiliares</v>
          </cell>
          <cell r="D810" t="str">
            <v>40H</v>
          </cell>
          <cell r="E810">
            <v>41395</v>
          </cell>
          <cell r="G810" t="str">
            <v>13</v>
          </cell>
          <cell r="H810" t="str">
            <v>Cl. N - NIVEL I</v>
          </cell>
          <cell r="I810" t="str">
            <v>Básico</v>
          </cell>
          <cell r="J810">
            <v>3249.8</v>
          </cell>
          <cell r="K810" t="str">
            <v>Produtividade</v>
          </cell>
          <cell r="L810">
            <v>20</v>
          </cell>
          <cell r="M810" t="str">
            <v>Prod. Variável</v>
          </cell>
          <cell r="N810">
            <v>20</v>
          </cell>
        </row>
        <row r="811">
          <cell r="A811" t="str">
            <v>TV PGE SERV AUX 14 40H</v>
          </cell>
          <cell r="B811" t="str">
            <v>TV PGE SERV AUX</v>
          </cell>
          <cell r="C811" t="str">
            <v>Tabela de Valores PGE Servidores Serviços Auxiliares</v>
          </cell>
          <cell r="D811" t="str">
            <v>40H</v>
          </cell>
          <cell r="E811">
            <v>41395</v>
          </cell>
          <cell r="G811" t="str">
            <v>14</v>
          </cell>
          <cell r="H811" t="str">
            <v>Cl. N - NIVEL II</v>
          </cell>
          <cell r="I811" t="str">
            <v>Básico</v>
          </cell>
          <cell r="J811">
            <v>3574.78</v>
          </cell>
          <cell r="K811" t="str">
            <v>Produtividade</v>
          </cell>
          <cell r="L811">
            <v>20</v>
          </cell>
          <cell r="M811" t="str">
            <v>Prod. Variável</v>
          </cell>
          <cell r="N811">
            <v>20</v>
          </cell>
        </row>
        <row r="812">
          <cell r="A812" t="str">
            <v>TV PGE SERV AUX 15 40H</v>
          </cell>
          <cell r="B812" t="str">
            <v>TV PGE SERV AUX</v>
          </cell>
          <cell r="C812" t="str">
            <v>Tabela de Valores PGE Servidores Serviços Auxiliares</v>
          </cell>
          <cell r="D812" t="str">
            <v>40H</v>
          </cell>
          <cell r="E812">
            <v>41395</v>
          </cell>
          <cell r="G812" t="str">
            <v>15</v>
          </cell>
          <cell r="H812" t="str">
            <v>Cl. O - NIVEL I</v>
          </cell>
          <cell r="I812" t="str">
            <v>Básico</v>
          </cell>
          <cell r="J812">
            <v>3932.26</v>
          </cell>
          <cell r="K812" t="str">
            <v>Produtividade</v>
          </cell>
          <cell r="L812">
            <v>20</v>
          </cell>
          <cell r="M812" t="str">
            <v>Prod. Variável</v>
          </cell>
          <cell r="N812">
            <v>20</v>
          </cell>
        </row>
        <row r="813">
          <cell r="A813" t="str">
            <v>TV PGE SERV AUX 16 40H</v>
          </cell>
          <cell r="B813" t="str">
            <v>TV PGE SERV AUX</v>
          </cell>
          <cell r="C813" t="str">
            <v>Tabela de Valores PGE Servidores Serviços Auxiliares</v>
          </cell>
          <cell r="D813" t="str">
            <v>40H</v>
          </cell>
          <cell r="E813">
            <v>41395</v>
          </cell>
          <cell r="G813" t="str">
            <v>16</v>
          </cell>
          <cell r="H813" t="str">
            <v>Cl. O - NIVEL II</v>
          </cell>
          <cell r="I813" t="str">
            <v>Básico</v>
          </cell>
          <cell r="J813">
            <v>4325.49</v>
          </cell>
          <cell r="K813" t="str">
            <v>Produtividade</v>
          </cell>
          <cell r="L813">
            <v>20</v>
          </cell>
          <cell r="M813" t="str">
            <v>Prod. Variável</v>
          </cell>
          <cell r="N813">
            <v>20</v>
          </cell>
        </row>
        <row r="814">
          <cell r="A814" t="str">
            <v>TV PGE SERV AUX 17 40H</v>
          </cell>
          <cell r="B814" t="str">
            <v>TV PGE SERV AUX</v>
          </cell>
          <cell r="C814" t="str">
            <v>Tabela de Valores PGE Servidores Serviços Auxiliares</v>
          </cell>
          <cell r="D814" t="str">
            <v>40H</v>
          </cell>
          <cell r="E814">
            <v>41395</v>
          </cell>
          <cell r="G814" t="str">
            <v>17</v>
          </cell>
          <cell r="H814" t="str">
            <v>Cl. P - NIVEL I</v>
          </cell>
          <cell r="I814" t="str">
            <v>Básico</v>
          </cell>
          <cell r="J814">
            <v>4758.04</v>
          </cell>
          <cell r="K814" t="str">
            <v>Produtividade</v>
          </cell>
          <cell r="L814">
            <v>20</v>
          </cell>
          <cell r="M814" t="str">
            <v>Prod. Variável</v>
          </cell>
          <cell r="N814">
            <v>20</v>
          </cell>
        </row>
        <row r="815">
          <cell r="A815" t="str">
            <v>TV PGE SERV AUX 18 40H</v>
          </cell>
          <cell r="B815" t="str">
            <v>TV PGE SERV AUX</v>
          </cell>
          <cell r="C815" t="str">
            <v>Tabela de Valores PGE Servidores Serviços Auxiliares</v>
          </cell>
          <cell r="D815" t="str">
            <v>40H</v>
          </cell>
          <cell r="E815">
            <v>41395</v>
          </cell>
          <cell r="G815" t="str">
            <v>18</v>
          </cell>
          <cell r="H815" t="str">
            <v>Cl. P - NIVEL II</v>
          </cell>
          <cell r="I815" t="str">
            <v>Básico</v>
          </cell>
          <cell r="J815">
            <v>5233.84</v>
          </cell>
          <cell r="K815" t="str">
            <v>Produtividade</v>
          </cell>
          <cell r="L815">
            <v>20</v>
          </cell>
          <cell r="M815" t="str">
            <v>Prod. Variável</v>
          </cell>
          <cell r="N815">
            <v>20</v>
          </cell>
        </row>
        <row r="816">
          <cell r="A816" t="str">
            <v>TV PGE SERV AUX 19 40H</v>
          </cell>
          <cell r="B816" t="str">
            <v>TV PGE SERV AUX</v>
          </cell>
          <cell r="C816" t="str">
            <v>Tabela de Valores PGE Servidores Serviços Auxiliares</v>
          </cell>
          <cell r="D816" t="str">
            <v>40H</v>
          </cell>
          <cell r="E816">
            <v>41395</v>
          </cell>
          <cell r="G816" t="str">
            <v>19</v>
          </cell>
          <cell r="H816" t="str">
            <v>Cl. Q - NIVEL I</v>
          </cell>
          <cell r="I816" t="str">
            <v>Básico</v>
          </cell>
          <cell r="J816">
            <v>5757.22</v>
          </cell>
          <cell r="K816" t="str">
            <v>Produtividade</v>
          </cell>
          <cell r="L816">
            <v>20</v>
          </cell>
          <cell r="M816" t="str">
            <v>Prod. Variável</v>
          </cell>
          <cell r="N816">
            <v>20</v>
          </cell>
        </row>
        <row r="817">
          <cell r="A817" t="str">
            <v>TV PGE SERV AUX 20 40H</v>
          </cell>
          <cell r="B817" t="str">
            <v>TV PGE SERV AUX</v>
          </cell>
          <cell r="C817" t="str">
            <v>Tabela de Valores PGE Servidores Serviços Auxiliares</v>
          </cell>
          <cell r="D817" t="str">
            <v>40H</v>
          </cell>
          <cell r="E817">
            <v>41395</v>
          </cell>
          <cell r="G817" t="str">
            <v>20</v>
          </cell>
          <cell r="H817" t="str">
            <v>Cl. Q - NIVEL II</v>
          </cell>
          <cell r="I817" t="str">
            <v>Básico</v>
          </cell>
          <cell r="J817">
            <v>6332.95</v>
          </cell>
          <cell r="K817" t="str">
            <v>Produtividade</v>
          </cell>
          <cell r="L817">
            <v>20</v>
          </cell>
          <cell r="M817" t="str">
            <v>Prod. Variável</v>
          </cell>
          <cell r="N817">
            <v>20</v>
          </cell>
        </row>
        <row r="818">
          <cell r="A818" t="str">
            <v>TV PGE SERV AUX 21 40H</v>
          </cell>
          <cell r="B818" t="str">
            <v>TV PGE SERV AUX</v>
          </cell>
          <cell r="C818" t="str">
            <v>Tabela de Valores PGE Servidores Serviços Auxiliares</v>
          </cell>
          <cell r="D818" t="str">
            <v>40H</v>
          </cell>
          <cell r="E818">
            <v>41395</v>
          </cell>
          <cell r="G818" t="str">
            <v>21</v>
          </cell>
          <cell r="H818" t="str">
            <v>Cl. R - NIVEL I</v>
          </cell>
          <cell r="I818" t="str">
            <v>Básico</v>
          </cell>
          <cell r="J818">
            <v>5960.4</v>
          </cell>
          <cell r="K818" t="str">
            <v>Produtividade</v>
          </cell>
          <cell r="L818">
            <v>21</v>
          </cell>
          <cell r="M818" t="str">
            <v>Prod. Variável</v>
          </cell>
          <cell r="N818">
            <v>21</v>
          </cell>
        </row>
        <row r="819">
          <cell r="A819" t="str">
            <v>TV PGE SERV AUX 22 40H</v>
          </cell>
          <cell r="B819" t="str">
            <v>TV PGE SERV AUX</v>
          </cell>
          <cell r="C819" t="str">
            <v>Tabela de Valores PGE Servidores Serviços Auxiliares</v>
          </cell>
          <cell r="D819" t="str">
            <v>40H</v>
          </cell>
          <cell r="E819">
            <v>41395</v>
          </cell>
          <cell r="G819" t="str">
            <v>22</v>
          </cell>
          <cell r="H819" t="str">
            <v>Cl. R - NIVEL II</v>
          </cell>
          <cell r="I819" t="str">
            <v>Básico</v>
          </cell>
          <cell r="J819">
            <v>6556.44</v>
          </cell>
          <cell r="K819" t="str">
            <v>Produtividade</v>
          </cell>
          <cell r="L819">
            <v>21</v>
          </cell>
          <cell r="M819" t="str">
            <v>Prod. Variável</v>
          </cell>
          <cell r="N819">
            <v>21</v>
          </cell>
        </row>
        <row r="820">
          <cell r="A820" t="str">
            <v>TV PGE SERV AUX 23 40H</v>
          </cell>
          <cell r="B820" t="str">
            <v>TV PGE SERV AUX</v>
          </cell>
          <cell r="C820" t="str">
            <v>Tabela de Valores PGE Servidores Serviços Auxiliares</v>
          </cell>
          <cell r="D820" t="str">
            <v>40H</v>
          </cell>
          <cell r="E820">
            <v>41395</v>
          </cell>
          <cell r="G820" t="str">
            <v>23</v>
          </cell>
          <cell r="H820" t="str">
            <v>Cl. S - NIVEL I</v>
          </cell>
          <cell r="I820" t="str">
            <v>Básico</v>
          </cell>
          <cell r="J820">
            <v>7212.08</v>
          </cell>
          <cell r="K820" t="str">
            <v>Produtividade</v>
          </cell>
          <cell r="L820">
            <v>21</v>
          </cell>
          <cell r="M820" t="str">
            <v>Prod. Variável</v>
          </cell>
          <cell r="N820">
            <v>21</v>
          </cell>
        </row>
        <row r="821">
          <cell r="A821" t="str">
            <v>TV PGE SERV AUX 24 40H</v>
          </cell>
          <cell r="B821" t="str">
            <v>TV PGE SERV AUX</v>
          </cell>
          <cell r="C821" t="str">
            <v>Tabela de Valores PGE Servidores Serviços Auxiliares</v>
          </cell>
          <cell r="D821" t="str">
            <v>40H</v>
          </cell>
          <cell r="E821">
            <v>41395</v>
          </cell>
          <cell r="G821" t="str">
            <v>24</v>
          </cell>
          <cell r="H821" t="str">
            <v>Cl. S - NIVEL II</v>
          </cell>
          <cell r="I821" t="str">
            <v>Básico</v>
          </cell>
          <cell r="J821">
            <v>7933.29</v>
          </cell>
          <cell r="K821" t="str">
            <v>Produtividade</v>
          </cell>
          <cell r="L821">
            <v>21</v>
          </cell>
          <cell r="M821" t="str">
            <v>Prod. Variável</v>
          </cell>
          <cell r="N821">
            <v>21</v>
          </cell>
        </row>
        <row r="822">
          <cell r="A822" t="str">
            <v>TV PGE SERV AUX 25 40H</v>
          </cell>
          <cell r="B822" t="str">
            <v>TV PGE SERV AUX</v>
          </cell>
          <cell r="C822" t="str">
            <v>Tabela de Valores PGE Servidores Serviços Auxiliares</v>
          </cell>
          <cell r="D822" t="str">
            <v>40H</v>
          </cell>
          <cell r="E822">
            <v>41395</v>
          </cell>
          <cell r="G822" t="str">
            <v>25</v>
          </cell>
          <cell r="H822" t="str">
            <v>Cl. T - NIVEL I</v>
          </cell>
          <cell r="I822" t="str">
            <v>Básico</v>
          </cell>
          <cell r="J822">
            <v>8726.62</v>
          </cell>
          <cell r="K822" t="str">
            <v>Produtividade</v>
          </cell>
          <cell r="L822">
            <v>21</v>
          </cell>
          <cell r="M822" t="str">
            <v>Prod. Variável</v>
          </cell>
          <cell r="N822">
            <v>21</v>
          </cell>
        </row>
        <row r="823">
          <cell r="A823" t="str">
            <v>TV PGE SERV AUX 26 40H</v>
          </cell>
          <cell r="B823" t="str">
            <v>TV PGE SERV AUX</v>
          </cell>
          <cell r="C823" t="str">
            <v>Tabela de Valores PGE Servidores Serviços Auxiliares</v>
          </cell>
          <cell r="D823" t="str">
            <v>40H</v>
          </cell>
          <cell r="E823">
            <v>41395</v>
          </cell>
          <cell r="G823" t="str">
            <v>26</v>
          </cell>
          <cell r="H823" t="str">
            <v>Cl. T - NIVEL II</v>
          </cell>
          <cell r="I823" t="str">
            <v>Básico</v>
          </cell>
          <cell r="J823">
            <v>9599.28</v>
          </cell>
          <cell r="K823" t="str">
            <v>Produtividade</v>
          </cell>
          <cell r="L823">
            <v>21</v>
          </cell>
          <cell r="M823" t="str">
            <v>Prod. Variável</v>
          </cell>
          <cell r="N823">
            <v>21</v>
          </cell>
        </row>
        <row r="824">
          <cell r="A824" t="str">
            <v>TV PGE SERV AUX 27 40H</v>
          </cell>
          <cell r="B824" t="str">
            <v>TV PGE SERV AUX</v>
          </cell>
          <cell r="C824" t="str">
            <v>Tabela de Valores PGE Servidores Serviços Auxiliares</v>
          </cell>
          <cell r="D824" t="str">
            <v>40H</v>
          </cell>
          <cell r="E824">
            <v>41395</v>
          </cell>
          <cell r="G824" t="str">
            <v>27</v>
          </cell>
          <cell r="H824" t="str">
            <v>Cl. U - NIVEL I</v>
          </cell>
          <cell r="I824" t="str">
            <v>Básico</v>
          </cell>
          <cell r="J824">
            <v>10559.21</v>
          </cell>
          <cell r="K824" t="str">
            <v>Produtividade</v>
          </cell>
          <cell r="L824">
            <v>21</v>
          </cell>
          <cell r="M824" t="str">
            <v>Prod. Variável</v>
          </cell>
          <cell r="N824">
            <v>21</v>
          </cell>
        </row>
        <row r="825">
          <cell r="A825" t="str">
            <v>TV PGE SERV AUX 28 40H</v>
          </cell>
          <cell r="B825" t="str">
            <v>TV PGE SERV AUX</v>
          </cell>
          <cell r="C825" t="str">
            <v>Tabela de Valores PGE Servidores Serviços Auxiliares</v>
          </cell>
          <cell r="D825" t="str">
            <v>40H</v>
          </cell>
          <cell r="E825">
            <v>41395</v>
          </cell>
          <cell r="G825" t="str">
            <v>28</v>
          </cell>
          <cell r="H825" t="str">
            <v>Cl. U - NIVEL II</v>
          </cell>
          <cell r="I825" t="str">
            <v>Básico</v>
          </cell>
          <cell r="J825">
            <v>11615.13</v>
          </cell>
          <cell r="K825" t="str">
            <v>Produtividade</v>
          </cell>
          <cell r="L825">
            <v>21</v>
          </cell>
          <cell r="M825" t="str">
            <v>Prod. Variável</v>
          </cell>
          <cell r="N825">
            <v>21</v>
          </cell>
        </row>
        <row r="826">
          <cell r="A826" t="str">
            <v>TV PGE SERV AUX 29 40H</v>
          </cell>
          <cell r="B826" t="str">
            <v>TV PGE SERV AUX</v>
          </cell>
          <cell r="C826" t="str">
            <v>Tabela de Valores PGE Servidores Serviços Auxiliares</v>
          </cell>
          <cell r="D826" t="str">
            <v>40H</v>
          </cell>
          <cell r="E826">
            <v>41395</v>
          </cell>
          <cell r="G826" t="str">
            <v>29</v>
          </cell>
          <cell r="H826" t="str">
            <v>Cl. V - NIVEL I</v>
          </cell>
          <cell r="I826" t="str">
            <v>Básico</v>
          </cell>
          <cell r="J826">
            <v>12776.64</v>
          </cell>
          <cell r="K826" t="str">
            <v>Produtividade</v>
          </cell>
          <cell r="L826">
            <v>21</v>
          </cell>
          <cell r="M826" t="str">
            <v>Prod. Variável</v>
          </cell>
          <cell r="N826">
            <v>21</v>
          </cell>
        </row>
        <row r="827">
          <cell r="A827" t="str">
            <v>TV PGE SERV AUX 30 40H</v>
          </cell>
          <cell r="B827" t="str">
            <v>TV PGE SERV AUX</v>
          </cell>
          <cell r="C827" t="str">
            <v>Tabela de Valores PGE Servidores Serviços Auxiliares</v>
          </cell>
          <cell r="D827" t="str">
            <v>40H</v>
          </cell>
          <cell r="E827">
            <v>41395</v>
          </cell>
          <cell r="G827" t="str">
            <v>30</v>
          </cell>
          <cell r="H827" t="str">
            <v>Cl. V - NIVEL II</v>
          </cell>
          <cell r="I827" t="str">
            <v>Básico</v>
          </cell>
          <cell r="J827">
            <v>14054.31</v>
          </cell>
          <cell r="K827" t="str">
            <v>Produtividade</v>
          </cell>
          <cell r="L827">
            <v>21</v>
          </cell>
          <cell r="M827" t="str">
            <v>Prod. Variável</v>
          </cell>
          <cell r="N827">
            <v>21</v>
          </cell>
        </row>
        <row r="828">
          <cell r="A828" t="str">
            <v>TV PGE SERVIDORES 01 40H</v>
          </cell>
          <cell r="B828" t="str">
            <v>TV PGE SERVIDORES</v>
          </cell>
          <cell r="C828" t="str">
            <v>Tabela de Valores PGE Servidores</v>
          </cell>
          <cell r="D828" t="str">
            <v>40H</v>
          </cell>
          <cell r="E828">
            <v>41395</v>
          </cell>
          <cell r="G828" t="str">
            <v>01</v>
          </cell>
          <cell r="H828" t="str">
            <v>Cl C</v>
          </cell>
          <cell r="I828" t="str">
            <v>Básico</v>
          </cell>
          <cell r="J828">
            <v>1935.17</v>
          </cell>
          <cell r="K828" t="str">
            <v>Produtividade</v>
          </cell>
          <cell r="L828">
            <v>19</v>
          </cell>
          <cell r="M828" t="str">
            <v>Prod. Variável</v>
          </cell>
          <cell r="N828">
            <v>19</v>
          </cell>
        </row>
        <row r="829">
          <cell r="A829" t="str">
            <v>TV PGE SERVIDORES 02 40H</v>
          </cell>
          <cell r="B829" t="str">
            <v>TV PGE SERVIDORES</v>
          </cell>
          <cell r="C829" t="str">
            <v>Tabela de Valores PGE Servidores</v>
          </cell>
          <cell r="D829" t="str">
            <v>40H</v>
          </cell>
          <cell r="E829">
            <v>41395</v>
          </cell>
          <cell r="G829" t="str">
            <v>02</v>
          </cell>
          <cell r="H829" t="str">
            <v>Cl D</v>
          </cell>
          <cell r="I829" t="str">
            <v>Básico</v>
          </cell>
          <cell r="J829">
            <v>1977.56</v>
          </cell>
          <cell r="K829" t="str">
            <v>Produtividade</v>
          </cell>
          <cell r="L829">
            <v>19</v>
          </cell>
          <cell r="M829" t="str">
            <v>Prod. Variável</v>
          </cell>
          <cell r="N829">
            <v>19</v>
          </cell>
        </row>
        <row r="830">
          <cell r="A830" t="str">
            <v>TV PGE SERVIDORES 03 40H</v>
          </cell>
          <cell r="B830" t="str">
            <v>TV PGE SERVIDORES</v>
          </cell>
          <cell r="C830" t="str">
            <v>Tabela de Valores PGE Servidores</v>
          </cell>
          <cell r="D830" t="str">
            <v>40H</v>
          </cell>
          <cell r="E830">
            <v>41395</v>
          </cell>
          <cell r="G830" t="str">
            <v>03</v>
          </cell>
          <cell r="H830" t="str">
            <v>Cl E</v>
          </cell>
          <cell r="I830" t="str">
            <v>Básico</v>
          </cell>
          <cell r="J830">
            <v>2071.07</v>
          </cell>
          <cell r="K830" t="str">
            <v>Produtividade</v>
          </cell>
          <cell r="L830">
            <v>19</v>
          </cell>
          <cell r="M830" t="str">
            <v>Prod. Variável</v>
          </cell>
          <cell r="N830">
            <v>19</v>
          </cell>
        </row>
        <row r="831">
          <cell r="A831" t="str">
            <v>TV PGE SERVIDORES 04 40H</v>
          </cell>
          <cell r="B831" t="str">
            <v>TV PGE SERVIDORES</v>
          </cell>
          <cell r="C831" t="str">
            <v>Tabela de Valores PGE Servidores</v>
          </cell>
          <cell r="D831" t="str">
            <v>40H</v>
          </cell>
          <cell r="E831">
            <v>41395</v>
          </cell>
          <cell r="G831" t="str">
            <v>04</v>
          </cell>
          <cell r="H831" t="str">
            <v>Cl F</v>
          </cell>
          <cell r="I831" t="str">
            <v>Básico</v>
          </cell>
          <cell r="J831">
            <v>2122.93</v>
          </cell>
          <cell r="K831" t="str">
            <v>Produtividade</v>
          </cell>
          <cell r="L831">
            <v>19</v>
          </cell>
          <cell r="M831" t="str">
            <v>Prod. Variável</v>
          </cell>
          <cell r="N831">
            <v>19</v>
          </cell>
        </row>
        <row r="832">
          <cell r="A832" t="str">
            <v>TV PGE SERVIDORES 05 40H</v>
          </cell>
          <cell r="B832" t="str">
            <v>TV PGE SERVIDORES</v>
          </cell>
          <cell r="C832" t="str">
            <v>Tabela de Valores PGE Servidores</v>
          </cell>
          <cell r="D832" t="str">
            <v>40H</v>
          </cell>
          <cell r="E832">
            <v>41395</v>
          </cell>
          <cell r="G832" t="str">
            <v>05</v>
          </cell>
          <cell r="H832" t="str">
            <v>Cl G</v>
          </cell>
          <cell r="I832" t="str">
            <v>Básico</v>
          </cell>
          <cell r="J832">
            <v>2178.31</v>
          </cell>
          <cell r="K832" t="str">
            <v>Produtividade</v>
          </cell>
          <cell r="L832">
            <v>19</v>
          </cell>
          <cell r="M832" t="str">
            <v>Prod. Variável</v>
          </cell>
          <cell r="N832">
            <v>19</v>
          </cell>
        </row>
        <row r="833">
          <cell r="A833" t="str">
            <v>TV PGE SERVIDORES 06 40H</v>
          </cell>
          <cell r="B833" t="str">
            <v>TV PGE SERVIDORES</v>
          </cell>
          <cell r="C833" t="str">
            <v>Tabela de Valores PGE Servidores</v>
          </cell>
          <cell r="D833" t="str">
            <v>40H</v>
          </cell>
          <cell r="E833">
            <v>41395</v>
          </cell>
          <cell r="G833" t="str">
            <v>06</v>
          </cell>
          <cell r="H833" t="str">
            <v>Cl H</v>
          </cell>
          <cell r="I833" t="str">
            <v>Básico</v>
          </cell>
          <cell r="J833">
            <v>2394.83</v>
          </cell>
          <cell r="K833" t="str">
            <v>Produtividade</v>
          </cell>
          <cell r="L833">
            <v>19</v>
          </cell>
          <cell r="M833" t="str">
            <v>Prod. Variável</v>
          </cell>
          <cell r="N833">
            <v>19</v>
          </cell>
        </row>
        <row r="834">
          <cell r="A834" t="str">
            <v>TV PGE SERVIDORES 07 40H</v>
          </cell>
          <cell r="B834" t="str">
            <v>TV PGE SERVIDORES</v>
          </cell>
          <cell r="C834" t="str">
            <v>Tabela de Valores PGE Servidores</v>
          </cell>
          <cell r="D834" t="str">
            <v>40H</v>
          </cell>
          <cell r="E834">
            <v>41395</v>
          </cell>
          <cell r="G834" t="str">
            <v>07</v>
          </cell>
          <cell r="H834" t="str">
            <v>Cl I</v>
          </cell>
          <cell r="I834" t="str">
            <v>Básico</v>
          </cell>
          <cell r="J834">
            <v>2514.32</v>
          </cell>
          <cell r="K834" t="str">
            <v>Produtividade</v>
          </cell>
          <cell r="L834">
            <v>19</v>
          </cell>
          <cell r="M834" t="str">
            <v>Prod. Variável</v>
          </cell>
          <cell r="N834">
            <v>19</v>
          </cell>
        </row>
        <row r="835">
          <cell r="A835" t="str">
            <v>TV PGE SERVIDORES 08 40H</v>
          </cell>
          <cell r="B835" t="str">
            <v>TV PGE SERVIDORES</v>
          </cell>
          <cell r="C835" t="str">
            <v>Tabela de Valores PGE Servidores</v>
          </cell>
          <cell r="D835" t="str">
            <v>40H</v>
          </cell>
          <cell r="E835">
            <v>41395</v>
          </cell>
          <cell r="G835" t="str">
            <v>08</v>
          </cell>
          <cell r="H835" t="str">
            <v>Cl J</v>
          </cell>
          <cell r="I835" t="str">
            <v>Básico</v>
          </cell>
          <cell r="J835">
            <v>1315.06</v>
          </cell>
          <cell r="K835" t="str">
            <v>Produtividade</v>
          </cell>
          <cell r="M835" t="str">
            <v>Prod. Variável</v>
          </cell>
        </row>
        <row r="836">
          <cell r="A836" t="str">
            <v>TV PGE SERVIDORES 09 40H</v>
          </cell>
          <cell r="B836" t="str">
            <v>TV PGE SERVIDORES</v>
          </cell>
          <cell r="C836" t="str">
            <v>Tabela de Valores PGE Servidores</v>
          </cell>
          <cell r="D836" t="str">
            <v>40H</v>
          </cell>
          <cell r="E836">
            <v>41395</v>
          </cell>
          <cell r="G836" t="str">
            <v>09</v>
          </cell>
          <cell r="H836" t="str">
            <v>Cl M</v>
          </cell>
          <cell r="I836" t="str">
            <v>Básico</v>
          </cell>
          <cell r="J836">
            <v>2685.79</v>
          </cell>
          <cell r="K836" t="str">
            <v>Produtividade</v>
          </cell>
          <cell r="L836">
            <v>20</v>
          </cell>
          <cell r="M836" t="str">
            <v>Prod. Variável</v>
          </cell>
          <cell r="N836">
            <v>20</v>
          </cell>
        </row>
        <row r="837">
          <cell r="A837" t="str">
            <v>TV PGE SERVIDORES 10 40H</v>
          </cell>
          <cell r="B837" t="str">
            <v>TV PGE SERVIDORES</v>
          </cell>
          <cell r="C837" t="str">
            <v>Tabela de Valores PGE Servidores</v>
          </cell>
          <cell r="D837" t="str">
            <v>40H</v>
          </cell>
          <cell r="E837">
            <v>41395</v>
          </cell>
          <cell r="G837" t="str">
            <v>10</v>
          </cell>
          <cell r="H837" t="str">
            <v>Cl N</v>
          </cell>
          <cell r="I837" t="str">
            <v>Básico</v>
          </cell>
          <cell r="J837">
            <v>2813.91</v>
          </cell>
          <cell r="K837" t="str">
            <v>Produtividade</v>
          </cell>
          <cell r="L837">
            <v>20</v>
          </cell>
          <cell r="M837" t="str">
            <v>Prod. Variável</v>
          </cell>
          <cell r="N837">
            <v>20</v>
          </cell>
        </row>
        <row r="838">
          <cell r="A838" t="str">
            <v>TV PGE SERVIDORES 11 40H</v>
          </cell>
          <cell r="B838" t="str">
            <v>TV PGE SERVIDORES</v>
          </cell>
          <cell r="C838" t="str">
            <v>Tabela de Valores PGE Servidores</v>
          </cell>
          <cell r="D838" t="str">
            <v>40H</v>
          </cell>
          <cell r="E838">
            <v>41395</v>
          </cell>
          <cell r="G838" t="str">
            <v>11</v>
          </cell>
          <cell r="H838" t="str">
            <v>Cl O</v>
          </cell>
          <cell r="I838" t="str">
            <v>Básico</v>
          </cell>
          <cell r="J838">
            <v>2953.53</v>
          </cell>
          <cell r="K838" t="str">
            <v>Produtividade</v>
          </cell>
          <cell r="L838">
            <v>20</v>
          </cell>
          <cell r="M838" t="str">
            <v>Prod. Variável</v>
          </cell>
          <cell r="N838">
            <v>20</v>
          </cell>
        </row>
        <row r="839">
          <cell r="A839" t="str">
            <v>TV PGE SERVIDORES 12 40H</v>
          </cell>
          <cell r="B839" t="str">
            <v>TV PGE SERVIDORES</v>
          </cell>
          <cell r="C839" t="str">
            <v>Tabela de Valores PGE Servidores</v>
          </cell>
          <cell r="D839" t="str">
            <v>40H</v>
          </cell>
          <cell r="E839">
            <v>41395</v>
          </cell>
          <cell r="G839" t="str">
            <v>12</v>
          </cell>
          <cell r="H839" t="str">
            <v>Cl R</v>
          </cell>
          <cell r="I839" t="str">
            <v>Básico</v>
          </cell>
          <cell r="J839">
            <v>5960.4</v>
          </cell>
          <cell r="K839" t="str">
            <v>Produtividade</v>
          </cell>
          <cell r="L839">
            <v>21</v>
          </cell>
          <cell r="M839" t="str">
            <v>Prod. Variável</v>
          </cell>
          <cell r="N839">
            <v>21</v>
          </cell>
        </row>
        <row r="840">
          <cell r="A840" t="str">
            <v>TV POLICIA CIVIL 01 40H</v>
          </cell>
          <cell r="B840" t="str">
            <v>TV POLICIA CIVIL</v>
          </cell>
          <cell r="C840" t="str">
            <v>Tabela de Valores Servidores da Policia Civil</v>
          </cell>
          <cell r="D840" t="str">
            <v>40H</v>
          </cell>
          <cell r="E840">
            <v>41640</v>
          </cell>
          <cell r="G840" t="str">
            <v>01</v>
          </cell>
          <cell r="H840" t="str">
            <v>Inv - 1 Cl</v>
          </cell>
          <cell r="I840" t="str">
            <v>Básico</v>
          </cell>
          <cell r="J840">
            <v>578.73</v>
          </cell>
          <cell r="K840" t="str">
            <v>% Risco Vida</v>
          </cell>
          <cell r="L840">
            <v>222</v>
          </cell>
          <cell r="M840" t="str">
            <v>% Giap</v>
          </cell>
          <cell r="O840" t="str">
            <v>Pd Inerente</v>
          </cell>
          <cell r="Q840" t="str">
            <v>Subsídio</v>
          </cell>
          <cell r="R840">
            <v>1986.85</v>
          </cell>
        </row>
        <row r="841">
          <cell r="A841" t="str">
            <v>TV POLICIA CIVIL 02 40H</v>
          </cell>
          <cell r="B841" t="str">
            <v>TV POLICIA CIVIL</v>
          </cell>
          <cell r="C841" t="str">
            <v>Tabela de Valores Servidores da Policia Civil</v>
          </cell>
          <cell r="D841" t="str">
            <v>40H</v>
          </cell>
          <cell r="E841">
            <v>41640</v>
          </cell>
          <cell r="G841" t="str">
            <v>02</v>
          </cell>
          <cell r="H841" t="str">
            <v>Inv - 2 Cl</v>
          </cell>
          <cell r="I841" t="str">
            <v>Básico</v>
          </cell>
          <cell r="J841">
            <v>661.41</v>
          </cell>
          <cell r="K841" t="str">
            <v>% Risco Vida</v>
          </cell>
          <cell r="L841">
            <v>222</v>
          </cell>
          <cell r="M841" t="str">
            <v>% Giap</v>
          </cell>
          <cell r="O841" t="str">
            <v>Pd Inerente</v>
          </cell>
          <cell r="Q841" t="str">
            <v>Subsídio</v>
          </cell>
          <cell r="R841">
            <v>2483.93</v>
          </cell>
        </row>
        <row r="842">
          <cell r="A842" t="str">
            <v>TV POLICIA CIVIL 03 40H</v>
          </cell>
          <cell r="B842" t="str">
            <v>TV POLICIA CIVIL</v>
          </cell>
          <cell r="C842" t="str">
            <v>Tabela de Valores Servidores da Policia Civil</v>
          </cell>
          <cell r="D842" t="str">
            <v>40H</v>
          </cell>
          <cell r="E842">
            <v>41640</v>
          </cell>
          <cell r="G842" t="str">
            <v>03</v>
          </cell>
          <cell r="H842" t="str">
            <v>Inv - 3 Cl</v>
          </cell>
          <cell r="I842" t="str">
            <v>Básico</v>
          </cell>
          <cell r="J842">
            <v>732.27</v>
          </cell>
          <cell r="K842" t="str">
            <v>% Risco Vida</v>
          </cell>
          <cell r="L842">
            <v>222</v>
          </cell>
          <cell r="M842" t="str">
            <v>% Giap</v>
          </cell>
          <cell r="O842" t="str">
            <v>Pd Inerente</v>
          </cell>
          <cell r="Q842" t="str">
            <v>Subsídio</v>
          </cell>
          <cell r="R842">
            <v>3209.09</v>
          </cell>
        </row>
        <row r="843">
          <cell r="A843" t="str">
            <v>TV POLICIA CIVIL 04 40H</v>
          </cell>
          <cell r="B843" t="str">
            <v>TV POLICIA CIVIL</v>
          </cell>
          <cell r="C843" t="str">
            <v>Tabela de Valores Servidores da Policia Civil</v>
          </cell>
          <cell r="D843" t="str">
            <v>40H</v>
          </cell>
          <cell r="E843">
            <v>41640</v>
          </cell>
          <cell r="G843" t="str">
            <v>04</v>
          </cell>
          <cell r="H843" t="str">
            <v>Inv - 4 Cl</v>
          </cell>
          <cell r="I843" t="str">
            <v>Básico</v>
          </cell>
          <cell r="J843">
            <v>802.97</v>
          </cell>
          <cell r="K843" t="str">
            <v>% Risco Vida</v>
          </cell>
          <cell r="L843">
            <v>222</v>
          </cell>
          <cell r="M843" t="str">
            <v>% Giap</v>
          </cell>
          <cell r="O843" t="str">
            <v>Pd Inerente</v>
          </cell>
          <cell r="Q843" t="str">
            <v>Subsídio</v>
          </cell>
          <cell r="R843">
            <v>4376.39</v>
          </cell>
        </row>
        <row r="844">
          <cell r="A844" t="str">
            <v>TV POLICIA CIVIL 05 40H</v>
          </cell>
          <cell r="B844" t="str">
            <v>TV POLICIA CIVIL</v>
          </cell>
          <cell r="C844" t="str">
            <v>Tabela de Valores Servidores da Policia Civil</v>
          </cell>
          <cell r="D844" t="str">
            <v>40H</v>
          </cell>
          <cell r="E844">
            <v>41640</v>
          </cell>
          <cell r="G844" t="str">
            <v>05</v>
          </cell>
          <cell r="H844" t="str">
            <v>Inv - 5 Cl</v>
          </cell>
          <cell r="I844" t="str">
            <v>Básico</v>
          </cell>
          <cell r="J844">
            <v>873.73</v>
          </cell>
          <cell r="K844" t="str">
            <v>% Risco Vida</v>
          </cell>
          <cell r="L844">
            <v>222</v>
          </cell>
          <cell r="M844" t="str">
            <v>% Giap</v>
          </cell>
          <cell r="O844" t="str">
            <v>Pd Inerente</v>
          </cell>
          <cell r="Q844" t="str">
            <v>Subsídio</v>
          </cell>
          <cell r="R844">
            <v>4691.34</v>
          </cell>
        </row>
        <row r="845">
          <cell r="A845" t="str">
            <v>TV POLICIA CIVIL 06 40H</v>
          </cell>
          <cell r="B845" t="str">
            <v>TV POLICIA CIVIL</v>
          </cell>
          <cell r="C845" t="str">
            <v>Tabela de Valores Servidores da Policia Civil</v>
          </cell>
          <cell r="D845" t="str">
            <v>40H</v>
          </cell>
          <cell r="E845">
            <v>41640</v>
          </cell>
          <cell r="G845" t="str">
            <v>06</v>
          </cell>
          <cell r="H845" t="str">
            <v>Inv - 6 Cl</v>
          </cell>
          <cell r="I845" t="str">
            <v>Básico</v>
          </cell>
          <cell r="J845">
            <v>944.52</v>
          </cell>
          <cell r="K845" t="str">
            <v>% Risco Vida</v>
          </cell>
          <cell r="L845">
            <v>222</v>
          </cell>
          <cell r="M845" t="str">
            <v>% Giap</v>
          </cell>
          <cell r="O845" t="str">
            <v>Pd Inerente</v>
          </cell>
          <cell r="Q845" t="str">
            <v>Subsídio</v>
          </cell>
          <cell r="R845">
            <v>5714.22</v>
          </cell>
        </row>
        <row r="846">
          <cell r="A846" t="str">
            <v>TV POLICIA CIVIL 07 40H</v>
          </cell>
          <cell r="B846" t="str">
            <v>TV POLICIA CIVIL</v>
          </cell>
          <cell r="C846" t="str">
            <v>Tabela de Valores Servidores da Policia Civil</v>
          </cell>
          <cell r="D846" t="str">
            <v>40H</v>
          </cell>
          <cell r="E846">
            <v>41640</v>
          </cell>
          <cell r="G846" t="str">
            <v>07</v>
          </cell>
          <cell r="H846" t="str">
            <v>Inv - 7 Cl</v>
          </cell>
          <cell r="I846" t="str">
            <v>Básico</v>
          </cell>
          <cell r="J846">
            <v>1015.33</v>
          </cell>
          <cell r="K846" t="str">
            <v>% Risco Vida</v>
          </cell>
          <cell r="L846">
            <v>222</v>
          </cell>
          <cell r="M846" t="str">
            <v>% Giap</v>
          </cell>
          <cell r="O846" t="str">
            <v>Pd Inerente</v>
          </cell>
          <cell r="Q846" t="str">
            <v>Subsídio</v>
          </cell>
          <cell r="R846">
            <v>6797.2</v>
          </cell>
        </row>
        <row r="847">
          <cell r="A847" t="str">
            <v>TV POLICIA CIVIL 08 40H</v>
          </cell>
          <cell r="B847" t="str">
            <v>TV POLICIA CIVIL</v>
          </cell>
          <cell r="C847" t="str">
            <v>Tabela de Valores Servidores da Policia Civil</v>
          </cell>
          <cell r="D847" t="str">
            <v>40H</v>
          </cell>
          <cell r="E847">
            <v>41640</v>
          </cell>
          <cell r="G847" t="str">
            <v>08</v>
          </cell>
          <cell r="H847" t="str">
            <v>Insp/Escr - 1 Cl</v>
          </cell>
          <cell r="I847" t="str">
            <v>Básico</v>
          </cell>
          <cell r="J847">
            <v>802.97</v>
          </cell>
          <cell r="K847" t="str">
            <v>% Risco Vida</v>
          </cell>
          <cell r="L847">
            <v>222</v>
          </cell>
          <cell r="M847" t="str">
            <v>% Giap</v>
          </cell>
          <cell r="O847" t="str">
            <v>Pd Inerente</v>
          </cell>
          <cell r="Q847" t="str">
            <v>Subsídio</v>
          </cell>
          <cell r="R847">
            <v>3003.59</v>
          </cell>
        </row>
        <row r="848">
          <cell r="A848" t="str">
            <v>TV POLICIA CIVIL 09 40H</v>
          </cell>
          <cell r="B848" t="str">
            <v>TV POLICIA CIVIL</v>
          </cell>
          <cell r="C848" t="str">
            <v>Tabela de Valores Servidores da Policia Civil</v>
          </cell>
          <cell r="D848" t="str">
            <v>40H</v>
          </cell>
          <cell r="E848">
            <v>41640</v>
          </cell>
          <cell r="G848" t="str">
            <v>09</v>
          </cell>
          <cell r="H848" t="str">
            <v>Insp/Escr - 2 Cl</v>
          </cell>
          <cell r="I848" t="str">
            <v>Básico</v>
          </cell>
          <cell r="J848">
            <v>873.73</v>
          </cell>
          <cell r="K848" t="str">
            <v>% Risco Vida</v>
          </cell>
          <cell r="L848">
            <v>222</v>
          </cell>
          <cell r="M848" t="str">
            <v>% Giap</v>
          </cell>
          <cell r="O848" t="str">
            <v>Pd Inerente</v>
          </cell>
          <cell r="Q848" t="str">
            <v>Subsídio</v>
          </cell>
          <cell r="R848">
            <v>4220.75</v>
          </cell>
        </row>
        <row r="849">
          <cell r="A849" t="str">
            <v>TV POLICIA CIVIL 10 40H</v>
          </cell>
          <cell r="B849" t="str">
            <v>TV POLICIA CIVIL</v>
          </cell>
          <cell r="C849" t="str">
            <v>Tabela de Valores Servidores da Policia Civil</v>
          </cell>
          <cell r="D849" t="str">
            <v>40H</v>
          </cell>
          <cell r="E849">
            <v>41640</v>
          </cell>
          <cell r="G849" t="str">
            <v>10</v>
          </cell>
          <cell r="H849" t="str">
            <v>Insp/Escr - 3 Cl</v>
          </cell>
          <cell r="I849" t="str">
            <v>Básico</v>
          </cell>
          <cell r="J849">
            <v>943.74</v>
          </cell>
          <cell r="K849" t="str">
            <v>% Risco Vida</v>
          </cell>
          <cell r="L849">
            <v>222</v>
          </cell>
          <cell r="M849" t="str">
            <v>% Giap</v>
          </cell>
          <cell r="O849" t="str">
            <v>Pd Inerente</v>
          </cell>
          <cell r="P849">
            <v>4</v>
          </cell>
          <cell r="Q849" t="str">
            <v>Subsídio</v>
          </cell>
          <cell r="R849">
            <v>5714.22</v>
          </cell>
        </row>
        <row r="850">
          <cell r="A850" t="str">
            <v>TV POLICIA CIVIL 11 40H</v>
          </cell>
          <cell r="B850" t="str">
            <v>TV POLICIA CIVIL</v>
          </cell>
          <cell r="C850" t="str">
            <v>Tabela de Valores Servidores da Policia Civil</v>
          </cell>
          <cell r="D850" t="str">
            <v>40H</v>
          </cell>
          <cell r="E850">
            <v>41640</v>
          </cell>
          <cell r="G850" t="str">
            <v>11</v>
          </cell>
          <cell r="H850" t="str">
            <v>Insp/Escr - 4 Cl</v>
          </cell>
          <cell r="I850" t="str">
            <v>Básico</v>
          </cell>
          <cell r="J850">
            <v>1014.28</v>
          </cell>
          <cell r="K850" t="str">
            <v>% Risco Vida</v>
          </cell>
          <cell r="L850">
            <v>222</v>
          </cell>
          <cell r="M850" t="str">
            <v>% Giap</v>
          </cell>
          <cell r="O850" t="str">
            <v>Pd Inerente</v>
          </cell>
          <cell r="P850">
            <v>5</v>
          </cell>
          <cell r="Q850" t="str">
            <v>Subsídio</v>
          </cell>
          <cell r="R850">
            <v>6797.2</v>
          </cell>
        </row>
        <row r="851">
          <cell r="A851" t="str">
            <v>TV POLICIA CIVIL 12 40H</v>
          </cell>
          <cell r="B851" t="str">
            <v>TV POLICIA CIVIL</v>
          </cell>
          <cell r="C851" t="str">
            <v>Tabela de Valores Servidores da Policia Civil</v>
          </cell>
          <cell r="D851" t="str">
            <v>40H</v>
          </cell>
          <cell r="E851">
            <v>41640</v>
          </cell>
          <cell r="G851" t="str">
            <v>12</v>
          </cell>
          <cell r="H851" t="str">
            <v>Comissario</v>
          </cell>
          <cell r="I851" t="str">
            <v>Básico</v>
          </cell>
          <cell r="J851">
            <v>1488.74</v>
          </cell>
          <cell r="K851" t="str">
            <v>% Risco Vida</v>
          </cell>
          <cell r="M851" t="str">
            <v>% Giap</v>
          </cell>
          <cell r="N851">
            <v>222</v>
          </cell>
          <cell r="O851" t="str">
            <v>Pd Inerente</v>
          </cell>
          <cell r="P851">
            <v>7</v>
          </cell>
          <cell r="Q851" t="str">
            <v>Subsídio</v>
          </cell>
          <cell r="R851">
            <v>8888.44</v>
          </cell>
        </row>
        <row r="852">
          <cell r="A852" t="str">
            <v>TV POLICIA CIVIL 13 40H</v>
          </cell>
          <cell r="B852" t="str">
            <v>TV POLICIA CIVIL</v>
          </cell>
          <cell r="C852" t="str">
            <v>Tabela de Valores Servidores da Policia Civil</v>
          </cell>
          <cell r="D852" t="str">
            <v>40H</v>
          </cell>
          <cell r="E852">
            <v>41640</v>
          </cell>
          <cell r="G852" t="str">
            <v>13</v>
          </cell>
          <cell r="H852" t="str">
            <v>Del - 1 Cl</v>
          </cell>
          <cell r="I852" t="str">
            <v>Básico</v>
          </cell>
          <cell r="J852">
            <v>7094.98</v>
          </cell>
          <cell r="K852" t="str">
            <v>% Risco Vida</v>
          </cell>
          <cell r="M852" t="str">
            <v>% Giap</v>
          </cell>
          <cell r="O852" t="str">
            <v>Pd Inerente</v>
          </cell>
          <cell r="Q852" t="str">
            <v>Subsídio</v>
          </cell>
          <cell r="R852">
            <v>9860</v>
          </cell>
        </row>
        <row r="853">
          <cell r="A853" t="str">
            <v>TV POLICIA CIVIL 14 40H</v>
          </cell>
          <cell r="B853" t="str">
            <v>TV POLICIA CIVIL</v>
          </cell>
          <cell r="C853" t="str">
            <v>Tabela de Valores Servidores da Policia Civil</v>
          </cell>
          <cell r="D853" t="str">
            <v>40H</v>
          </cell>
          <cell r="E853">
            <v>41640</v>
          </cell>
          <cell r="G853" t="str">
            <v>14</v>
          </cell>
          <cell r="H853" t="str">
            <v>Del - 2 Cl</v>
          </cell>
          <cell r="I853" t="str">
            <v>Básico</v>
          </cell>
          <cell r="J853">
            <v>7538.32</v>
          </cell>
          <cell r="K853" t="str">
            <v>% Risco Vida</v>
          </cell>
          <cell r="M853" t="str">
            <v>% Giap</v>
          </cell>
          <cell r="O853" t="str">
            <v>Pd Inerente</v>
          </cell>
          <cell r="Q853" t="str">
            <v>Subsídio</v>
          </cell>
          <cell r="R853">
            <v>12091</v>
          </cell>
        </row>
        <row r="854">
          <cell r="A854" t="str">
            <v>TV POLICIA CIVIL 15 40H</v>
          </cell>
          <cell r="B854" t="str">
            <v>TV POLICIA CIVIL</v>
          </cell>
          <cell r="C854" t="str">
            <v>Tabela de Valores Servidores da Policia Civil</v>
          </cell>
          <cell r="D854" t="str">
            <v>40H</v>
          </cell>
          <cell r="E854">
            <v>41640</v>
          </cell>
          <cell r="G854" t="str">
            <v>15</v>
          </cell>
          <cell r="H854" t="str">
            <v>Del - 3 Cl</v>
          </cell>
          <cell r="I854" t="str">
            <v>Básico</v>
          </cell>
          <cell r="J854">
            <v>7981.78</v>
          </cell>
          <cell r="K854" t="str">
            <v>% Risco Vida</v>
          </cell>
          <cell r="M854" t="str">
            <v>% Giap</v>
          </cell>
          <cell r="O854" t="str">
            <v>Pd Inerente</v>
          </cell>
          <cell r="Q854" t="str">
            <v>Subsídio</v>
          </cell>
          <cell r="R854">
            <v>14410</v>
          </cell>
        </row>
        <row r="855">
          <cell r="A855" t="str">
            <v>TV POLICIA CIVIL 16 40H</v>
          </cell>
          <cell r="B855" t="str">
            <v>TV POLICIA CIVIL</v>
          </cell>
          <cell r="C855" t="str">
            <v>Tabela de Valores Servidores da Policia Civil</v>
          </cell>
          <cell r="D855" t="str">
            <v>40H</v>
          </cell>
          <cell r="E855">
            <v>41640</v>
          </cell>
          <cell r="G855" t="str">
            <v>16</v>
          </cell>
          <cell r="H855" t="str">
            <v>Del - 4 Cl</v>
          </cell>
          <cell r="I855" t="str">
            <v>Básico</v>
          </cell>
          <cell r="J855">
            <v>8425.12</v>
          </cell>
          <cell r="K855" t="str">
            <v>% Risco Vida</v>
          </cell>
          <cell r="M855" t="str">
            <v>% Giap</v>
          </cell>
          <cell r="O855" t="str">
            <v>Pd Inerente</v>
          </cell>
          <cell r="Q855" t="str">
            <v>Subsídio</v>
          </cell>
          <cell r="R855">
            <v>16416</v>
          </cell>
        </row>
        <row r="856">
          <cell r="A856" t="str">
            <v>TV REINTEGRADOS 01 40H</v>
          </cell>
          <cell r="B856" t="str">
            <v>TV REINTEGRADOS</v>
          </cell>
          <cell r="C856" t="str">
            <v>Tabela de Valores Servidores Reintegrados</v>
          </cell>
          <cell r="D856" t="str">
            <v>40H</v>
          </cell>
          <cell r="E856">
            <v>41548</v>
          </cell>
          <cell r="G856" t="str">
            <v>01</v>
          </cell>
          <cell r="I856" t="str">
            <v>Básico</v>
          </cell>
          <cell r="J856">
            <v>1124.33</v>
          </cell>
          <cell r="K856" t="str">
            <v>Parc Autonoma</v>
          </cell>
        </row>
        <row r="857">
          <cell r="A857" t="str">
            <v>TV REINTEGRADOS 02 40H</v>
          </cell>
          <cell r="B857" t="str">
            <v>TV REINTEGRADOS</v>
          </cell>
          <cell r="C857" t="str">
            <v>Tabela de Valores Servidores Reintegrados</v>
          </cell>
          <cell r="D857" t="str">
            <v>40H</v>
          </cell>
          <cell r="E857">
            <v>41548</v>
          </cell>
          <cell r="G857" t="str">
            <v>02</v>
          </cell>
          <cell r="I857" t="str">
            <v>Básico</v>
          </cell>
          <cell r="J857">
            <v>1157.11</v>
          </cell>
          <cell r="K857" t="str">
            <v>Parc Autonoma</v>
          </cell>
        </row>
        <row r="858">
          <cell r="A858" t="str">
            <v>TV REINTEGRADOS 03 40H</v>
          </cell>
          <cell r="B858" t="str">
            <v>TV REINTEGRADOS</v>
          </cell>
          <cell r="C858" t="str">
            <v>Tabela de Valores Servidores Reintegrados</v>
          </cell>
          <cell r="D858" t="str">
            <v>40H</v>
          </cell>
          <cell r="E858">
            <v>41548</v>
          </cell>
          <cell r="G858" t="str">
            <v>03</v>
          </cell>
          <cell r="I858" t="str">
            <v>Básico</v>
          </cell>
          <cell r="J858">
            <v>1255.87</v>
          </cell>
          <cell r="K858" t="str">
            <v>Parc Autonoma</v>
          </cell>
        </row>
        <row r="859">
          <cell r="A859" t="str">
            <v>TV REINTEGRADOS 04 40H</v>
          </cell>
          <cell r="B859" t="str">
            <v>TV REINTEGRADOS</v>
          </cell>
          <cell r="C859" t="str">
            <v>Tabela de Valores Servidores Reintegrados</v>
          </cell>
          <cell r="D859" t="str">
            <v>40H</v>
          </cell>
          <cell r="E859">
            <v>41548</v>
          </cell>
          <cell r="G859" t="str">
            <v>04</v>
          </cell>
          <cell r="I859" t="str">
            <v>Básico</v>
          </cell>
          <cell r="J859">
            <v>1268.07</v>
          </cell>
          <cell r="K859" t="str">
            <v>Parc Autonoma</v>
          </cell>
        </row>
        <row r="860">
          <cell r="A860" t="str">
            <v>TV REINTEGRADOS 05 40H</v>
          </cell>
          <cell r="B860" t="str">
            <v>TV REINTEGRADOS</v>
          </cell>
          <cell r="C860" t="str">
            <v>Tabela de Valores Servidores Reintegrados</v>
          </cell>
          <cell r="D860" t="str">
            <v>40H</v>
          </cell>
          <cell r="E860">
            <v>41548</v>
          </cell>
          <cell r="G860" t="str">
            <v>05</v>
          </cell>
          <cell r="I860" t="str">
            <v>Básico</v>
          </cell>
          <cell r="J860">
            <v>1401.94</v>
          </cell>
          <cell r="K860" t="str">
            <v>Parc Autonoma</v>
          </cell>
        </row>
        <row r="861">
          <cell r="A861" t="str">
            <v>TV REINTEGRADOS 06 40H</v>
          </cell>
          <cell r="B861" t="str">
            <v>TV REINTEGRADOS</v>
          </cell>
          <cell r="C861" t="str">
            <v>Tabela de Valores Servidores Reintegrados</v>
          </cell>
          <cell r="D861" t="str">
            <v>40H</v>
          </cell>
          <cell r="E861">
            <v>41548</v>
          </cell>
          <cell r="G861" t="str">
            <v>06</v>
          </cell>
          <cell r="I861" t="str">
            <v>Básico</v>
          </cell>
          <cell r="J861">
            <v>1557.04</v>
          </cell>
          <cell r="K861" t="str">
            <v>Parc Autonoma</v>
          </cell>
        </row>
        <row r="862">
          <cell r="A862" t="str">
            <v>TV REINTEGRADOS 07 40H</v>
          </cell>
          <cell r="B862" t="str">
            <v>TV REINTEGRADOS</v>
          </cell>
          <cell r="C862" t="str">
            <v>Tabela de Valores Servidores Reintegrados</v>
          </cell>
          <cell r="D862" t="str">
            <v>40H</v>
          </cell>
          <cell r="E862">
            <v>41548</v>
          </cell>
          <cell r="G862" t="str">
            <v>07</v>
          </cell>
          <cell r="I862" t="str">
            <v>Básico</v>
          </cell>
          <cell r="J862">
            <v>1575.7</v>
          </cell>
          <cell r="K862" t="str">
            <v>Parc Autonoma</v>
          </cell>
        </row>
        <row r="863">
          <cell r="A863" t="str">
            <v>TV REINTEGRADOS 08 40H</v>
          </cell>
          <cell r="B863" t="str">
            <v>TV REINTEGRADOS</v>
          </cell>
          <cell r="C863" t="str">
            <v>Tabela de Valores Servidores Reintegrados</v>
          </cell>
          <cell r="D863" t="str">
            <v>40H</v>
          </cell>
          <cell r="E863">
            <v>41548</v>
          </cell>
          <cell r="G863" t="str">
            <v>08</v>
          </cell>
          <cell r="I863" t="str">
            <v>Básico</v>
          </cell>
          <cell r="J863">
            <v>1706.39</v>
          </cell>
          <cell r="K863" t="str">
            <v>Parc Autonoma</v>
          </cell>
        </row>
        <row r="864">
          <cell r="A864" t="str">
            <v>TV REINTEGRADOS 09 40H</v>
          </cell>
          <cell r="B864" t="str">
            <v>TV REINTEGRADOS</v>
          </cell>
          <cell r="C864" t="str">
            <v>Tabela de Valores Servidores Reintegrados</v>
          </cell>
          <cell r="D864" t="str">
            <v>40H</v>
          </cell>
          <cell r="E864">
            <v>41548</v>
          </cell>
          <cell r="G864" t="str">
            <v>09</v>
          </cell>
          <cell r="I864" t="str">
            <v>Básico</v>
          </cell>
          <cell r="J864">
            <v>1732.38</v>
          </cell>
          <cell r="K864" t="str">
            <v>Parc Autonoma</v>
          </cell>
        </row>
        <row r="865">
          <cell r="A865" t="str">
            <v>TV REINTEGRADOS 10 40H</v>
          </cell>
          <cell r="B865" t="str">
            <v>TV REINTEGRADOS</v>
          </cell>
          <cell r="C865" t="str">
            <v>Tabela de Valores Servidores Reintegrados</v>
          </cell>
          <cell r="D865" t="str">
            <v>40H</v>
          </cell>
          <cell r="E865">
            <v>41548</v>
          </cell>
          <cell r="G865" t="str">
            <v>10</v>
          </cell>
          <cell r="I865" t="str">
            <v>Básico</v>
          </cell>
          <cell r="J865">
            <v>1882.8</v>
          </cell>
          <cell r="K865" t="str">
            <v>Parc Autonoma</v>
          </cell>
        </row>
        <row r="866">
          <cell r="A866" t="str">
            <v>TV REINTEGRADOS 11 40H</v>
          </cell>
          <cell r="B866" t="str">
            <v>TV REINTEGRADOS</v>
          </cell>
          <cell r="C866" t="str">
            <v>Tabela de Valores Servidores Reintegrados</v>
          </cell>
          <cell r="D866" t="str">
            <v>40H</v>
          </cell>
          <cell r="E866">
            <v>41548</v>
          </cell>
          <cell r="G866" t="str">
            <v>11</v>
          </cell>
          <cell r="I866" t="str">
            <v>Básico</v>
          </cell>
          <cell r="J866">
            <v>1970.53</v>
          </cell>
          <cell r="K866" t="str">
            <v>Parc Autonoma</v>
          </cell>
        </row>
        <row r="867">
          <cell r="A867" t="str">
            <v>TV REINTEGRADOS 12 40H</v>
          </cell>
          <cell r="B867" t="str">
            <v>TV REINTEGRADOS</v>
          </cell>
          <cell r="C867" t="str">
            <v>Tabela de Valores Servidores Reintegrados</v>
          </cell>
          <cell r="D867" t="str">
            <v>40H</v>
          </cell>
          <cell r="E867">
            <v>41548</v>
          </cell>
          <cell r="G867" t="str">
            <v>12</v>
          </cell>
          <cell r="I867" t="str">
            <v>Básico</v>
          </cell>
          <cell r="J867">
            <v>2089.66</v>
          </cell>
          <cell r="K867" t="str">
            <v>Parc Autonoma</v>
          </cell>
        </row>
        <row r="868">
          <cell r="A868" t="str">
            <v>TV REINTEGRADOS 13 40H</v>
          </cell>
          <cell r="B868" t="str">
            <v>TV REINTEGRADOS</v>
          </cell>
          <cell r="C868" t="str">
            <v>Tabela de Valores Servidores Reintegrados</v>
          </cell>
          <cell r="D868" t="str">
            <v>40H</v>
          </cell>
          <cell r="E868">
            <v>41548</v>
          </cell>
          <cell r="G868" t="str">
            <v>13</v>
          </cell>
          <cell r="I868" t="str">
            <v>Básico</v>
          </cell>
          <cell r="J868">
            <v>2196.27</v>
          </cell>
          <cell r="K868" t="str">
            <v>Parc Autonoma</v>
          </cell>
        </row>
        <row r="869">
          <cell r="A869" t="str">
            <v>TV REINTEGRADOS 14 40H</v>
          </cell>
          <cell r="B869" t="str">
            <v>TV REINTEGRADOS</v>
          </cell>
          <cell r="C869" t="str">
            <v>Tabela de Valores Servidores Reintegrados</v>
          </cell>
          <cell r="D869" t="str">
            <v>40H</v>
          </cell>
          <cell r="E869">
            <v>41548</v>
          </cell>
          <cell r="G869" t="str">
            <v>14</v>
          </cell>
          <cell r="I869" t="str">
            <v>Básico</v>
          </cell>
          <cell r="J869">
            <v>2622.61</v>
          </cell>
          <cell r="K869" t="str">
            <v>Parc Autonoma</v>
          </cell>
          <cell r="L869">
            <v>0</v>
          </cell>
        </row>
        <row r="870">
          <cell r="A870" t="str">
            <v>TV REINTEGRADOS 15 40H</v>
          </cell>
          <cell r="B870" t="str">
            <v>TV REINTEGRADOS</v>
          </cell>
          <cell r="C870" t="str">
            <v>Tabela de Valores Servidores Reintegrados</v>
          </cell>
          <cell r="D870" t="str">
            <v>40H</v>
          </cell>
          <cell r="E870">
            <v>41548</v>
          </cell>
          <cell r="G870" t="str">
            <v>15</v>
          </cell>
          <cell r="I870" t="str">
            <v>Básico</v>
          </cell>
          <cell r="J870">
            <v>2417.03</v>
          </cell>
          <cell r="K870" t="str">
            <v>Parc Autonoma</v>
          </cell>
        </row>
        <row r="871">
          <cell r="A871" t="str">
            <v>TV REINTEGRADOS 16 40H</v>
          </cell>
          <cell r="B871" t="str">
            <v>TV REINTEGRADOS</v>
          </cell>
          <cell r="C871" t="str">
            <v>Tabela de Valores Servidores Reintegrados</v>
          </cell>
          <cell r="D871" t="str">
            <v>40H</v>
          </cell>
          <cell r="E871">
            <v>41548</v>
          </cell>
          <cell r="G871" t="str">
            <v>16</v>
          </cell>
          <cell r="I871" t="str">
            <v>Básico</v>
          </cell>
          <cell r="J871">
            <v>2610.94</v>
          </cell>
          <cell r="K871" t="str">
            <v>Parc Autonoma</v>
          </cell>
        </row>
        <row r="872">
          <cell r="A872" t="str">
            <v>TV REINTEGRADOS 17 40H</v>
          </cell>
          <cell r="B872" t="str">
            <v>TV REINTEGRADOS</v>
          </cell>
          <cell r="C872" t="str">
            <v>Tabela de Valores Servidores Reintegrados</v>
          </cell>
          <cell r="D872" t="str">
            <v>40H</v>
          </cell>
          <cell r="E872">
            <v>41548</v>
          </cell>
          <cell r="G872" t="str">
            <v>17</v>
          </cell>
          <cell r="I872" t="str">
            <v>Básico</v>
          </cell>
          <cell r="J872">
            <v>2537.43</v>
          </cell>
          <cell r="K872" t="str">
            <v>Parc Autonoma</v>
          </cell>
        </row>
        <row r="873">
          <cell r="A873" t="str">
            <v>TV REINTEGRADOS 18 40H</v>
          </cell>
          <cell r="B873" t="str">
            <v>TV REINTEGRADOS</v>
          </cell>
          <cell r="C873" t="str">
            <v>Tabela de Valores Servidores Reintegrados</v>
          </cell>
          <cell r="D873" t="str">
            <v>40H</v>
          </cell>
          <cell r="E873">
            <v>41548</v>
          </cell>
          <cell r="G873" t="str">
            <v>18</v>
          </cell>
          <cell r="I873" t="str">
            <v>Básico</v>
          </cell>
          <cell r="J873">
            <v>2679.05</v>
          </cell>
          <cell r="K873" t="str">
            <v>Parc Autonoma</v>
          </cell>
        </row>
        <row r="874">
          <cell r="A874" t="str">
            <v>TV REINTEGRADOS 19 40H</v>
          </cell>
          <cell r="B874" t="str">
            <v>TV REINTEGRADOS</v>
          </cell>
          <cell r="C874" t="str">
            <v>Tabela de Valores Servidores Reintegrados</v>
          </cell>
          <cell r="D874" t="str">
            <v>40H</v>
          </cell>
          <cell r="E874">
            <v>41548</v>
          </cell>
          <cell r="G874" t="str">
            <v>19</v>
          </cell>
          <cell r="I874" t="str">
            <v>Básico</v>
          </cell>
          <cell r="J874">
            <v>2758.92</v>
          </cell>
          <cell r="K874" t="str">
            <v>Parc Autonoma</v>
          </cell>
        </row>
        <row r="875">
          <cell r="A875" t="str">
            <v>TV REINTEGRADOS 20 40H</v>
          </cell>
          <cell r="B875" t="str">
            <v>TV REINTEGRADOS</v>
          </cell>
          <cell r="C875" t="str">
            <v>Tabela de Valores Servidores Reintegrados</v>
          </cell>
          <cell r="D875" t="str">
            <v>40H</v>
          </cell>
          <cell r="E875">
            <v>41548</v>
          </cell>
          <cell r="G875" t="str">
            <v>20</v>
          </cell>
          <cell r="H875" t="str">
            <v>Técnico-Científico Reintegrado</v>
          </cell>
          <cell r="I875" t="str">
            <v>Básico</v>
          </cell>
          <cell r="J875">
            <v>3495.61</v>
          </cell>
          <cell r="K875" t="str">
            <v>Parc Autonoma</v>
          </cell>
          <cell r="L875">
            <v>0</v>
          </cell>
        </row>
        <row r="876">
          <cell r="A876" t="str">
            <v>TV REINTEGRADOS 21 40H</v>
          </cell>
          <cell r="B876" t="str">
            <v>TV REINTEGRADOS</v>
          </cell>
          <cell r="C876" t="str">
            <v>Tabela de Valores Servidores Reintegrados</v>
          </cell>
          <cell r="D876" t="str">
            <v>40H</v>
          </cell>
          <cell r="E876">
            <v>41548</v>
          </cell>
          <cell r="G876" t="str">
            <v>21</v>
          </cell>
          <cell r="I876" t="str">
            <v>Básico</v>
          </cell>
          <cell r="J876">
            <v>2947.32</v>
          </cell>
          <cell r="K876" t="str">
            <v>Parc Autonoma</v>
          </cell>
        </row>
        <row r="877">
          <cell r="A877" t="str">
            <v>TV REINTEGRADOS 22 40H</v>
          </cell>
          <cell r="B877" t="str">
            <v>TV REINTEGRADOS</v>
          </cell>
          <cell r="C877" t="str">
            <v>Tabela de Valores Servidores Reintegrados</v>
          </cell>
          <cell r="D877" t="str">
            <v>40H</v>
          </cell>
          <cell r="E877">
            <v>41548</v>
          </cell>
          <cell r="G877" t="str">
            <v>22</v>
          </cell>
          <cell r="H877" t="str">
            <v>Técnico-Científico Reintegrado</v>
          </cell>
          <cell r="I877" t="str">
            <v>Básico</v>
          </cell>
          <cell r="J877">
            <v>3629.47</v>
          </cell>
          <cell r="K877" t="str">
            <v>Parc Autonoma</v>
          </cell>
          <cell r="L877">
            <v>0</v>
          </cell>
        </row>
        <row r="878">
          <cell r="A878" t="str">
            <v>TV REINTEGRADOS 23 40H</v>
          </cell>
          <cell r="B878" t="str">
            <v>TV REINTEGRADOS</v>
          </cell>
          <cell r="C878" t="str">
            <v>Tabela de Valores Servidores Reintegrados</v>
          </cell>
          <cell r="D878" t="str">
            <v>40H</v>
          </cell>
          <cell r="E878">
            <v>41548</v>
          </cell>
          <cell r="G878" t="str">
            <v>23</v>
          </cell>
          <cell r="I878" t="str">
            <v>Básico</v>
          </cell>
          <cell r="J878">
            <v>2977.13</v>
          </cell>
          <cell r="K878" t="str">
            <v>Parc Autonoma</v>
          </cell>
        </row>
        <row r="879">
          <cell r="A879" t="str">
            <v>TV REINTEGRADOS 24 40H</v>
          </cell>
          <cell r="B879" t="str">
            <v>TV REINTEGRADOS</v>
          </cell>
          <cell r="C879" t="str">
            <v>Tabela de Valores Servidores Reintegrados</v>
          </cell>
          <cell r="D879" t="str">
            <v>40H</v>
          </cell>
          <cell r="E879">
            <v>41548</v>
          </cell>
          <cell r="G879" t="str">
            <v>24</v>
          </cell>
          <cell r="H879" t="str">
            <v>Técnico-Científico Reintegrado</v>
          </cell>
          <cell r="I879" t="str">
            <v>Básico</v>
          </cell>
          <cell r="J879">
            <v>3742.12</v>
          </cell>
          <cell r="K879" t="str">
            <v>Parc Autonoma</v>
          </cell>
          <cell r="L879">
            <v>0</v>
          </cell>
        </row>
        <row r="880">
          <cell r="A880" t="str">
            <v>TV REINTEGRADOS 25 40H</v>
          </cell>
          <cell r="B880" t="str">
            <v>TV REINTEGRADOS</v>
          </cell>
          <cell r="C880" t="str">
            <v>Tabela de Valores Servidores Reintegrados</v>
          </cell>
          <cell r="D880" t="str">
            <v>40H</v>
          </cell>
          <cell r="E880">
            <v>41548</v>
          </cell>
          <cell r="G880" t="str">
            <v>25</v>
          </cell>
          <cell r="H880" t="str">
            <v>Técnico-Científico Reintegrado</v>
          </cell>
          <cell r="I880" t="str">
            <v>Básico</v>
          </cell>
          <cell r="J880">
            <v>3769.04</v>
          </cell>
          <cell r="K880" t="str">
            <v>Parc Autonoma</v>
          </cell>
          <cell r="L880">
            <v>0</v>
          </cell>
        </row>
        <row r="881">
          <cell r="A881" t="str">
            <v>TV REINTEGRADOS 26 40H</v>
          </cell>
          <cell r="B881" t="str">
            <v>TV REINTEGRADOS</v>
          </cell>
          <cell r="C881" t="str">
            <v>Tabela de Valores Servidores Reintegrados</v>
          </cell>
          <cell r="D881" t="str">
            <v>40H</v>
          </cell>
          <cell r="E881">
            <v>41548</v>
          </cell>
          <cell r="G881" t="str">
            <v>26</v>
          </cell>
          <cell r="H881" t="str">
            <v>Técnico-Científico Reintegrado</v>
          </cell>
          <cell r="I881" t="str">
            <v>Básico</v>
          </cell>
          <cell r="J881">
            <v>3793.72</v>
          </cell>
          <cell r="K881" t="str">
            <v>Parc Autonoma</v>
          </cell>
          <cell r="L881">
            <v>0</v>
          </cell>
        </row>
        <row r="882">
          <cell r="A882" t="str">
            <v>TV REINTEGRADOS 27 40H</v>
          </cell>
          <cell r="B882" t="str">
            <v>TV REINTEGRADOS</v>
          </cell>
          <cell r="C882" t="str">
            <v>Tabela de Valores Servidores Reintegrados</v>
          </cell>
          <cell r="D882" t="str">
            <v>40H</v>
          </cell>
          <cell r="E882">
            <v>41548</v>
          </cell>
          <cell r="G882" t="str">
            <v>27</v>
          </cell>
          <cell r="H882" t="str">
            <v>Técnico-Científico Reintegrado</v>
          </cell>
          <cell r="I882" t="str">
            <v>Básico</v>
          </cell>
          <cell r="J882">
            <v>3908.99</v>
          </cell>
          <cell r="K882" t="str">
            <v>Parc Autonoma</v>
          </cell>
          <cell r="L882">
            <v>0</v>
          </cell>
        </row>
        <row r="883">
          <cell r="A883" t="str">
            <v>TV REINTEGRADOS 28 40H</v>
          </cell>
          <cell r="B883" t="str">
            <v>TV REINTEGRADOS</v>
          </cell>
          <cell r="C883" t="str">
            <v>Tabela de Valores Servidores Reintegrados</v>
          </cell>
          <cell r="D883" t="str">
            <v>40H</v>
          </cell>
          <cell r="E883">
            <v>41548</v>
          </cell>
          <cell r="G883" t="str">
            <v>28</v>
          </cell>
          <cell r="H883" t="str">
            <v>Técnico-Científico Reintegrado</v>
          </cell>
          <cell r="I883" t="str">
            <v>Básico</v>
          </cell>
          <cell r="J883">
            <v>3914.34</v>
          </cell>
          <cell r="K883" t="str">
            <v>Parc Autonoma</v>
          </cell>
          <cell r="L883">
            <v>0</v>
          </cell>
        </row>
        <row r="884">
          <cell r="A884" t="str">
            <v>TV REINTEGRADOS 29 40H</v>
          </cell>
          <cell r="B884" t="str">
            <v>TV REINTEGRADOS</v>
          </cell>
          <cell r="C884" t="str">
            <v>Tabela de Valores Servidores Reintegrados</v>
          </cell>
          <cell r="D884" t="str">
            <v>40H</v>
          </cell>
          <cell r="E884">
            <v>41548</v>
          </cell>
          <cell r="G884" t="str">
            <v>29</v>
          </cell>
          <cell r="H884" t="str">
            <v>Técnico-Científico Reintegrado</v>
          </cell>
          <cell r="I884" t="str">
            <v>Básico</v>
          </cell>
          <cell r="J884">
            <v>4065.24</v>
          </cell>
          <cell r="K884" t="str">
            <v>Parc Autonoma</v>
          </cell>
          <cell r="L884">
            <v>0</v>
          </cell>
        </row>
        <row r="885">
          <cell r="A885" t="str">
            <v>TV REINTEGRADOS 30 40H</v>
          </cell>
          <cell r="B885" t="str">
            <v>TV REINTEGRADOS</v>
          </cell>
          <cell r="C885" t="str">
            <v>Tabela de Valores Servidores Reintegrados</v>
          </cell>
          <cell r="D885" t="str">
            <v>40H</v>
          </cell>
          <cell r="E885">
            <v>41548</v>
          </cell>
          <cell r="G885" t="str">
            <v>30</v>
          </cell>
          <cell r="I885" t="str">
            <v>Básico</v>
          </cell>
          <cell r="J885">
            <v>3362.94</v>
          </cell>
          <cell r="K885" t="str">
            <v>Parc Autonoma</v>
          </cell>
        </row>
        <row r="886">
          <cell r="A886" t="str">
            <v>TV REINTEGRADOS 31 40H</v>
          </cell>
          <cell r="B886" t="str">
            <v>TV REINTEGRADOS</v>
          </cell>
          <cell r="C886" t="str">
            <v>Tabela de Valores Servidores Reintegrados</v>
          </cell>
          <cell r="D886" t="str">
            <v>40H</v>
          </cell>
          <cell r="E886">
            <v>41548</v>
          </cell>
          <cell r="G886" t="str">
            <v>31</v>
          </cell>
          <cell r="H886" t="str">
            <v>Técnico-Científico Reintegrado</v>
          </cell>
          <cell r="I886" t="str">
            <v>Básico</v>
          </cell>
          <cell r="J886">
            <v>4222.09</v>
          </cell>
          <cell r="K886" t="str">
            <v>Parc Autonoma</v>
          </cell>
          <cell r="L886">
            <v>0</v>
          </cell>
        </row>
        <row r="887">
          <cell r="A887" t="str">
            <v>TV REINTEGRADOS 32 40H</v>
          </cell>
          <cell r="B887" t="str">
            <v>TV REINTEGRADOS</v>
          </cell>
          <cell r="C887" t="str">
            <v>Tabela de Valores Servidores Reintegrados</v>
          </cell>
          <cell r="D887" t="str">
            <v>40H</v>
          </cell>
          <cell r="E887">
            <v>41548</v>
          </cell>
          <cell r="G887" t="str">
            <v>32</v>
          </cell>
          <cell r="H887" t="str">
            <v>Técnico-Científico Reintegrado</v>
          </cell>
          <cell r="I887" t="str">
            <v>Básico</v>
          </cell>
          <cell r="J887">
            <v>4645.25</v>
          </cell>
          <cell r="K887" t="str">
            <v>Parc Autonoma</v>
          </cell>
          <cell r="L887">
            <v>0</v>
          </cell>
        </row>
        <row r="888">
          <cell r="A888" t="str">
            <v>TV REINTEGRADOS 33 40H</v>
          </cell>
          <cell r="B888" t="str">
            <v>TV REINTEGRADOS</v>
          </cell>
          <cell r="C888" t="str">
            <v>Tabela de Valores Servidores Reintegrados</v>
          </cell>
          <cell r="D888" t="str">
            <v>40H</v>
          </cell>
          <cell r="E888">
            <v>41548</v>
          </cell>
          <cell r="G888" t="str">
            <v>33</v>
          </cell>
          <cell r="H888" t="str">
            <v>Técnico-Científico Reintegrado</v>
          </cell>
          <cell r="I888" t="str">
            <v>Básico</v>
          </cell>
          <cell r="J888">
            <v>4358.71</v>
          </cell>
          <cell r="K888" t="str">
            <v>Parc Autonoma</v>
          </cell>
          <cell r="L888">
            <v>0</v>
          </cell>
        </row>
        <row r="889">
          <cell r="A889" t="str">
            <v>TV REINTEGRADOS 34 40H</v>
          </cell>
          <cell r="B889" t="str">
            <v>TV REINTEGRADOS</v>
          </cell>
          <cell r="C889" t="str">
            <v>Tabela de Valores Servidores Reintegrados</v>
          </cell>
          <cell r="D889" t="str">
            <v>40H</v>
          </cell>
          <cell r="E889">
            <v>41548</v>
          </cell>
          <cell r="G889" t="str">
            <v>34</v>
          </cell>
          <cell r="I889" t="str">
            <v>Básico</v>
          </cell>
          <cell r="J889">
            <v>3453.75</v>
          </cell>
          <cell r="K889" t="str">
            <v>Parc Autonoma</v>
          </cell>
        </row>
        <row r="890">
          <cell r="A890" t="str">
            <v>TV REINTEGRADOS 35 40H</v>
          </cell>
          <cell r="B890" t="str">
            <v>TV REINTEGRADOS</v>
          </cell>
          <cell r="C890" t="str">
            <v>Tabela de Valores Servidores Reintegrados</v>
          </cell>
          <cell r="D890" t="str">
            <v>40H</v>
          </cell>
          <cell r="E890">
            <v>41548</v>
          </cell>
          <cell r="G890" t="str">
            <v>35</v>
          </cell>
          <cell r="H890" t="str">
            <v>CC08 - PGE</v>
          </cell>
          <cell r="I890" t="str">
            <v>Básico</v>
          </cell>
          <cell r="J890">
            <v>2506.45</v>
          </cell>
          <cell r="K890" t="str">
            <v>Parc Autonoma</v>
          </cell>
        </row>
        <row r="891">
          <cell r="A891" t="str">
            <v>TV REINTEGRADOS 36 40H</v>
          </cell>
          <cell r="B891" t="str">
            <v>TV REINTEGRADOS</v>
          </cell>
          <cell r="C891" t="str">
            <v>Tabela de Valores Servidores Reintegrados</v>
          </cell>
          <cell r="D891" t="str">
            <v>40H</v>
          </cell>
          <cell r="E891">
            <v>41548</v>
          </cell>
          <cell r="G891" t="str">
            <v>36</v>
          </cell>
          <cell r="H891" t="str">
            <v>Técnico-Científico Reintegrado</v>
          </cell>
          <cell r="I891" t="str">
            <v>Básico</v>
          </cell>
          <cell r="J891">
            <v>3786.56</v>
          </cell>
          <cell r="K891" t="str">
            <v>Parc Autonoma</v>
          </cell>
          <cell r="L891">
            <v>0</v>
          </cell>
        </row>
        <row r="892">
          <cell r="A892" t="str">
            <v>TV REINTEGRADOS 37 40H</v>
          </cell>
          <cell r="B892" t="str">
            <v>TV REINTEGRADOS</v>
          </cell>
          <cell r="C892" t="str">
            <v>Tabela de Valores Servidores Reintegrados</v>
          </cell>
          <cell r="D892" t="str">
            <v>40H</v>
          </cell>
          <cell r="E892">
            <v>41548</v>
          </cell>
          <cell r="G892" t="str">
            <v>37</v>
          </cell>
          <cell r="H892" t="str">
            <v>CC09 - PGE</v>
          </cell>
          <cell r="I892" t="str">
            <v>Básico</v>
          </cell>
          <cell r="J892">
            <v>5916.28</v>
          </cell>
          <cell r="K892" t="str">
            <v>Parc Autonoma</v>
          </cell>
        </row>
        <row r="893">
          <cell r="A893" t="str">
            <v>TV REINTEGRADOS 38 40H</v>
          </cell>
          <cell r="B893" t="str">
            <v>TV REINTEGRADOS</v>
          </cell>
          <cell r="C893" t="str">
            <v>Tabela de Valores Servidores Reintegrados</v>
          </cell>
          <cell r="D893" t="str">
            <v>40H</v>
          </cell>
          <cell r="E893">
            <v>41548</v>
          </cell>
          <cell r="G893" t="str">
            <v>38</v>
          </cell>
          <cell r="I893" t="str">
            <v>Básico</v>
          </cell>
          <cell r="J893">
            <v>515.22</v>
          </cell>
          <cell r="K893" t="str">
            <v>Parc Autonoma</v>
          </cell>
        </row>
        <row r="894">
          <cell r="A894" t="str">
            <v>TV REINTEGRADOS 39 40H</v>
          </cell>
          <cell r="B894" t="str">
            <v>TV REINTEGRADOS</v>
          </cell>
          <cell r="C894" t="str">
            <v>Tabela de Valores Servidores Reintegrados</v>
          </cell>
          <cell r="D894" t="str">
            <v>40H</v>
          </cell>
          <cell r="E894">
            <v>41548</v>
          </cell>
          <cell r="G894" t="str">
            <v>39</v>
          </cell>
          <cell r="H894" t="str">
            <v>CC07 - PGE</v>
          </cell>
          <cell r="I894" t="str">
            <v>Básico</v>
          </cell>
          <cell r="J894">
            <v>2897.02</v>
          </cell>
          <cell r="K894" t="str">
            <v>Parc Autonoma</v>
          </cell>
        </row>
        <row r="895">
          <cell r="A895" t="str">
            <v>TV REINTEGRADOS 40 40H</v>
          </cell>
          <cell r="B895" t="str">
            <v>TV REINTEGRADOS</v>
          </cell>
          <cell r="C895" t="str">
            <v>Tabela de Valores Servidores Reintegrados</v>
          </cell>
          <cell r="D895" t="str">
            <v>40H</v>
          </cell>
          <cell r="E895">
            <v>41548</v>
          </cell>
          <cell r="G895" t="str">
            <v>40</v>
          </cell>
          <cell r="I895" t="str">
            <v>Básico</v>
          </cell>
          <cell r="J895">
            <v>882.78</v>
          </cell>
          <cell r="K895" t="str">
            <v>Parc Autonoma</v>
          </cell>
        </row>
        <row r="896">
          <cell r="A896" t="str">
            <v>TV REINTEGRADOS 41 40H</v>
          </cell>
          <cell r="B896" t="str">
            <v>TV REINTEGRADOS</v>
          </cell>
          <cell r="C896" t="str">
            <v>Tabela de Valores Servidores Reintegrados</v>
          </cell>
          <cell r="D896" t="str">
            <v>40H</v>
          </cell>
          <cell r="E896">
            <v>41548</v>
          </cell>
          <cell r="G896" t="str">
            <v>41</v>
          </cell>
          <cell r="I896" t="str">
            <v>Básico</v>
          </cell>
          <cell r="J896">
            <v>3470.61</v>
          </cell>
          <cell r="K896" t="str">
            <v>Parc Autonoma</v>
          </cell>
        </row>
        <row r="897">
          <cell r="A897" t="str">
            <v>TV REINTEGRADOS 42 40H</v>
          </cell>
          <cell r="B897" t="str">
            <v>TV REINTEGRADOS</v>
          </cell>
          <cell r="C897" t="str">
            <v>Tabela de Valores Servidores Reintegrados</v>
          </cell>
          <cell r="D897" t="str">
            <v>40H</v>
          </cell>
          <cell r="E897">
            <v>41548</v>
          </cell>
          <cell r="G897" t="str">
            <v>42</v>
          </cell>
          <cell r="H897" t="str">
            <v>AS04+35%Repres</v>
          </cell>
          <cell r="I897" t="str">
            <v>Básico</v>
          </cell>
          <cell r="J897">
            <v>2383.82</v>
          </cell>
          <cell r="K897" t="str">
            <v>Parc Autonoma</v>
          </cell>
        </row>
        <row r="898">
          <cell r="A898" t="str">
            <v>TV REINTEGRADOS 43 40H</v>
          </cell>
          <cell r="B898" t="str">
            <v>TV REINTEGRADOS</v>
          </cell>
          <cell r="C898" t="str">
            <v>Tabela de Valores Servidores Reintegrados</v>
          </cell>
          <cell r="D898" t="str">
            <v>40H</v>
          </cell>
          <cell r="E898">
            <v>41548</v>
          </cell>
          <cell r="G898" t="str">
            <v>43</v>
          </cell>
          <cell r="I898" t="str">
            <v>Básico</v>
          </cell>
          <cell r="J898">
            <v>2921.54</v>
          </cell>
          <cell r="K898" t="str">
            <v>Parc Autonoma</v>
          </cell>
        </row>
        <row r="899">
          <cell r="A899" t="str">
            <v>TV REINTEGRADOS 44 40H</v>
          </cell>
          <cell r="B899" t="str">
            <v>TV REINTEGRADOS</v>
          </cell>
          <cell r="C899" t="str">
            <v>Tabela de Valores Servidores Reintegrados</v>
          </cell>
          <cell r="D899" t="str">
            <v>40H</v>
          </cell>
          <cell r="E899">
            <v>41548</v>
          </cell>
          <cell r="G899" t="str">
            <v>44</v>
          </cell>
          <cell r="H899" t="str">
            <v>Técnico-Científico Reintegrado</v>
          </cell>
          <cell r="I899" t="str">
            <v>Básico</v>
          </cell>
          <cell r="J899">
            <v>4441.9</v>
          </cell>
          <cell r="K899" t="str">
            <v>Parc Autonoma</v>
          </cell>
          <cell r="L899">
            <v>0</v>
          </cell>
        </row>
        <row r="900">
          <cell r="A900" t="str">
            <v>TV REINTEGRADOS 45 40H</v>
          </cell>
          <cell r="B900" t="str">
            <v>TV REINTEGRADOS</v>
          </cell>
          <cell r="C900" t="str">
            <v>Tabela de Valores Servidores Reintegrados</v>
          </cell>
          <cell r="D900" t="str">
            <v>40H</v>
          </cell>
          <cell r="E900">
            <v>41548</v>
          </cell>
          <cell r="G900" t="str">
            <v>45</v>
          </cell>
          <cell r="H900" t="str">
            <v>Técnico-Científico Reintegrado</v>
          </cell>
          <cell r="I900" t="str">
            <v>Básico</v>
          </cell>
          <cell r="J900">
            <v>3587.39</v>
          </cell>
          <cell r="K900" t="str">
            <v>Parc Autonoma</v>
          </cell>
        </row>
        <row r="901">
          <cell r="A901" t="str">
            <v>TV REINTEGRADOS 46 40H</v>
          </cell>
          <cell r="B901" t="str">
            <v>TV REINTEGRADOS</v>
          </cell>
          <cell r="C901" t="str">
            <v>Tabela de Valores Servidores Reintegrados</v>
          </cell>
          <cell r="D901" t="str">
            <v>40H</v>
          </cell>
          <cell r="E901">
            <v>41548</v>
          </cell>
          <cell r="G901" t="str">
            <v>46</v>
          </cell>
          <cell r="H901" t="str">
            <v>CEE Q.Ext.</v>
          </cell>
          <cell r="I901" t="str">
            <v>Básico</v>
          </cell>
          <cell r="J901">
            <v>598.92</v>
          </cell>
          <cell r="K901" t="str">
            <v>Parc Autonoma</v>
          </cell>
        </row>
        <row r="902">
          <cell r="A902" t="str">
            <v>TV REINTEGRADOS 47 40H</v>
          </cell>
          <cell r="B902" t="str">
            <v>TV REINTEGRADOS</v>
          </cell>
          <cell r="C902" t="str">
            <v>Tabela de Valores Servidores Reintegrados</v>
          </cell>
          <cell r="D902" t="str">
            <v>40H</v>
          </cell>
          <cell r="E902">
            <v>41548</v>
          </cell>
          <cell r="G902" t="str">
            <v>47</v>
          </cell>
          <cell r="H902" t="str">
            <v>ASCAR (Associação Sulina de Crédito e Assistência Rural)</v>
          </cell>
          <cell r="I902" t="str">
            <v>Básico</v>
          </cell>
          <cell r="J902">
            <v>788.86</v>
          </cell>
          <cell r="K902" t="str">
            <v>Parc Autonoma</v>
          </cell>
        </row>
        <row r="903">
          <cell r="A903" t="str">
            <v>TV REINTEGRADOS 48 40H</v>
          </cell>
          <cell r="B903" t="str">
            <v>TV REINTEGRADOS</v>
          </cell>
          <cell r="C903" t="str">
            <v>Tabela de Valores Servidores Reintegrados</v>
          </cell>
          <cell r="D903" t="str">
            <v>40H</v>
          </cell>
          <cell r="E903">
            <v>41548</v>
          </cell>
          <cell r="G903" t="str">
            <v>48</v>
          </cell>
          <cell r="H903" t="str">
            <v>CEDIC</v>
          </cell>
          <cell r="I903" t="str">
            <v>Básico</v>
          </cell>
          <cell r="J903">
            <v>1946.38</v>
          </cell>
          <cell r="K903" t="str">
            <v>Parc Autonoma</v>
          </cell>
        </row>
        <row r="904">
          <cell r="A904" t="str">
            <v>TV REINTEGRADOS 49 40H</v>
          </cell>
          <cell r="B904" t="str">
            <v>TV REINTEGRADOS</v>
          </cell>
          <cell r="C904" t="str">
            <v>Tabela de Valores Servidores Reintegrados</v>
          </cell>
          <cell r="D904" t="str">
            <v>40H</v>
          </cell>
          <cell r="E904">
            <v>41548</v>
          </cell>
          <cell r="G904" t="str">
            <v>49</v>
          </cell>
          <cell r="H904" t="str">
            <v>ASCAR-Tec.Cientifico</v>
          </cell>
          <cell r="I904" t="str">
            <v>Básico</v>
          </cell>
          <cell r="J904">
            <v>1648.76</v>
          </cell>
          <cell r="K904" t="str">
            <v>Parc Autonoma</v>
          </cell>
        </row>
        <row r="905">
          <cell r="A905" t="str">
            <v>TV REINTEGRADOS 50 40H</v>
          </cell>
          <cell r="B905" t="str">
            <v>TV REINTEGRADOS</v>
          </cell>
          <cell r="C905" t="str">
            <v>Tabela de Valores Servidores Reintegrados</v>
          </cell>
          <cell r="D905" t="str">
            <v>40H</v>
          </cell>
          <cell r="E905">
            <v>41548</v>
          </cell>
          <cell r="G905" t="str">
            <v>50</v>
          </cell>
          <cell r="H905" t="str">
            <v>AS06+35% Repres</v>
          </cell>
          <cell r="I905" t="str">
            <v>Básico</v>
          </cell>
          <cell r="J905">
            <v>3577.04</v>
          </cell>
          <cell r="K905" t="str">
            <v>Parc Autonoma</v>
          </cell>
        </row>
        <row r="906">
          <cell r="A906" t="str">
            <v>TV REINTEGRADOS 51 40H</v>
          </cell>
          <cell r="B906" t="str">
            <v>TV REINTEGRADOS</v>
          </cell>
          <cell r="C906" t="str">
            <v>Tabela de Valores Servidores Reintegrados</v>
          </cell>
          <cell r="D906" t="str">
            <v>40H</v>
          </cell>
          <cell r="E906">
            <v>41548</v>
          </cell>
          <cell r="G906" t="str">
            <v>51</v>
          </cell>
          <cell r="H906" t="str">
            <v>CCE 08 - Quadro CC PGE</v>
          </cell>
          <cell r="I906" t="str">
            <v>Básico</v>
          </cell>
          <cell r="J906">
            <v>5373.13</v>
          </cell>
          <cell r="K906" t="str">
            <v>Parc Autonoma</v>
          </cell>
        </row>
        <row r="907">
          <cell r="A907" t="str">
            <v>TV REINTEGRADOS 52 40H</v>
          </cell>
          <cell r="B907" t="str">
            <v>TV REINTEGRADOS</v>
          </cell>
          <cell r="C907" t="str">
            <v>Tabela de Valores Servidores Reintegrados</v>
          </cell>
          <cell r="D907" t="str">
            <v>40H</v>
          </cell>
          <cell r="E907">
            <v>41548</v>
          </cell>
          <cell r="G907" t="str">
            <v>52</v>
          </cell>
          <cell r="H907" t="str">
            <v>Téc. Cientifico - Cl A - 320,73 %</v>
          </cell>
          <cell r="I907" t="str">
            <v>Básico</v>
          </cell>
          <cell r="J907">
            <v>12860.42</v>
          </cell>
          <cell r="K907" t="str">
            <v>Parc Autonoma</v>
          </cell>
        </row>
        <row r="908">
          <cell r="A908" t="str">
            <v>TV REINTEGRADOS 53 40H</v>
          </cell>
          <cell r="B908" t="str">
            <v>TV REINTEGRADOS</v>
          </cell>
          <cell r="C908" t="str">
            <v>Tabela de Valores Servidores Reintegrados</v>
          </cell>
          <cell r="D908" t="str">
            <v>40H</v>
          </cell>
          <cell r="E908">
            <v>41548</v>
          </cell>
          <cell r="G908" t="str">
            <v>53</v>
          </cell>
          <cell r="H908" t="str">
            <v>Ag. Admin. - FUGAST</v>
          </cell>
          <cell r="I908" t="str">
            <v>Básico</v>
          </cell>
          <cell r="J908">
            <v>1503.36</v>
          </cell>
          <cell r="K908" t="str">
            <v>Parc Autonoma</v>
          </cell>
        </row>
        <row r="909">
          <cell r="A909" t="str">
            <v>TV REINTEGRADOS 54 40H</v>
          </cell>
          <cell r="B909" t="str">
            <v>TV REINTEGRADOS</v>
          </cell>
          <cell r="C909" t="str">
            <v>Tabela de Valores Servidores Reintegrados</v>
          </cell>
          <cell r="D909" t="str">
            <v>40H</v>
          </cell>
          <cell r="E909">
            <v>41548</v>
          </cell>
          <cell r="G909" t="str">
            <v>54</v>
          </cell>
          <cell r="H909" t="str">
            <v>Oper. Rural - FUGAST</v>
          </cell>
          <cell r="I909" t="str">
            <v>Básico</v>
          </cell>
          <cell r="J909">
            <v>666.49</v>
          </cell>
          <cell r="K909" t="str">
            <v>Parc Autonoma</v>
          </cell>
        </row>
        <row r="910">
          <cell r="A910" t="str">
            <v>TV REINTEGRADOS 55 40H</v>
          </cell>
          <cell r="B910" t="str">
            <v>TV REINTEGRADOS</v>
          </cell>
          <cell r="C910" t="str">
            <v>Tabela de Valores Servidores Reintegrados</v>
          </cell>
          <cell r="D910" t="str">
            <v>40H</v>
          </cell>
          <cell r="E910">
            <v>41548</v>
          </cell>
          <cell r="G910" t="str">
            <v>55</v>
          </cell>
          <cell r="H910" t="str">
            <v>Recreacionista</v>
          </cell>
          <cell r="I910" t="str">
            <v>Básico</v>
          </cell>
          <cell r="J910">
            <v>1934.75</v>
          </cell>
          <cell r="K910" t="str">
            <v>Parc Autonoma</v>
          </cell>
        </row>
        <row r="911">
          <cell r="A911" t="str">
            <v>TV REINTEGRADOS 56 40H</v>
          </cell>
          <cell r="B911" t="str">
            <v>TV REINTEGRADOS</v>
          </cell>
          <cell r="C911" t="str">
            <v>Tabela de Valores Servidores Reintegrados</v>
          </cell>
          <cell r="D911" t="str">
            <v>40H</v>
          </cell>
          <cell r="E911">
            <v>41548</v>
          </cell>
          <cell r="G911" t="str">
            <v>56</v>
          </cell>
          <cell r="H911" t="str">
            <v>Medico/Professor - SES</v>
          </cell>
          <cell r="I911" t="str">
            <v>Básico</v>
          </cell>
          <cell r="J911">
            <v>2723.52</v>
          </cell>
          <cell r="K911" t="str">
            <v>Parc Autonoma</v>
          </cell>
        </row>
        <row r="912">
          <cell r="A912" t="str">
            <v>TV REINTEGRADOS 57 40H</v>
          </cell>
          <cell r="B912" t="str">
            <v>TV REINTEGRADOS</v>
          </cell>
          <cell r="C912" t="str">
            <v>Tabela de Valores Servidores Reintegrados</v>
          </cell>
          <cell r="D912" t="str">
            <v>40H</v>
          </cell>
          <cell r="E912">
            <v>41548</v>
          </cell>
          <cell r="G912" t="str">
            <v>57</v>
          </cell>
          <cell r="H912" t="str">
            <v>Aux.Téc.Adm-Cl F - CEDIC</v>
          </cell>
          <cell r="I912" t="str">
            <v>Básico</v>
          </cell>
          <cell r="J912">
            <v>2519.02</v>
          </cell>
          <cell r="K912" t="str">
            <v>Parc Autonoma</v>
          </cell>
        </row>
        <row r="913">
          <cell r="A913" t="str">
            <v>TV REINTEGRADOS 58 40H</v>
          </cell>
          <cell r="B913" t="str">
            <v>TV REINTEGRADOS</v>
          </cell>
          <cell r="C913" t="str">
            <v>Tabela de Valores Servidores Reintegrados</v>
          </cell>
          <cell r="D913" t="str">
            <v>40H</v>
          </cell>
          <cell r="E913">
            <v>41548</v>
          </cell>
          <cell r="G913" t="str">
            <v>58</v>
          </cell>
          <cell r="H913" t="str">
            <v>TC - Arquiteto - FUGAST</v>
          </cell>
          <cell r="I913" t="str">
            <v>Básico</v>
          </cell>
          <cell r="J913">
            <v>9185.15</v>
          </cell>
          <cell r="K913" t="str">
            <v>Parc Autonoma</v>
          </cell>
        </row>
        <row r="914">
          <cell r="A914" t="str">
            <v>TV REINTEGRADOS 59 40H</v>
          </cell>
          <cell r="B914" t="str">
            <v>TV REINTEGRADOS</v>
          </cell>
          <cell r="C914" t="str">
            <v>Tabela de Valores Servidores Reintegrados</v>
          </cell>
          <cell r="D914" t="str">
            <v>40H</v>
          </cell>
          <cell r="E914">
            <v>41548</v>
          </cell>
          <cell r="G914" t="str">
            <v>59</v>
          </cell>
          <cell r="H914" t="str">
            <v>QG - Pd 16 + Parc Aut</v>
          </cell>
          <cell r="I914" t="str">
            <v>Básico</v>
          </cell>
          <cell r="J914">
            <v>889.73</v>
          </cell>
          <cell r="K914" t="str">
            <v>Parc Autonoma</v>
          </cell>
        </row>
        <row r="915">
          <cell r="A915" t="str">
            <v>TV REINTEGRADOS 60 40H</v>
          </cell>
          <cell r="B915" t="str">
            <v>TV REINTEGRADOS</v>
          </cell>
          <cell r="C915" t="str">
            <v>Tabela de Valores Servidores Reintegrados</v>
          </cell>
          <cell r="D915" t="str">
            <v>40H</v>
          </cell>
          <cell r="E915">
            <v>41548</v>
          </cell>
          <cell r="G915" t="str">
            <v>60</v>
          </cell>
          <cell r="H915" t="str">
            <v>Técnico I - ASCAR</v>
          </cell>
          <cell r="I915" t="str">
            <v>Básico</v>
          </cell>
          <cell r="J915">
            <v>1654.97</v>
          </cell>
          <cell r="K915" t="str">
            <v>Parc Autonoma</v>
          </cell>
        </row>
        <row r="916">
          <cell r="A916" t="str">
            <v>TV REINTEGRADOS 61 40H</v>
          </cell>
          <cell r="B916" t="str">
            <v>TV REINTEGRADOS</v>
          </cell>
          <cell r="C916" t="str">
            <v>Tabela de Valores Servidores Reintegrados</v>
          </cell>
          <cell r="D916" t="str">
            <v>40H</v>
          </cell>
          <cell r="E916">
            <v>41548</v>
          </cell>
          <cell r="G916" t="str">
            <v>61</v>
          </cell>
          <cell r="H916" t="str">
            <v>Motorista - ASCAR</v>
          </cell>
          <cell r="I916" t="str">
            <v>Básico</v>
          </cell>
          <cell r="J916">
            <v>1458.7</v>
          </cell>
          <cell r="K916" t="str">
            <v>Parc Autonoma</v>
          </cell>
        </row>
        <row r="917">
          <cell r="A917" t="str">
            <v>TV REINTEGRADOS 62 40H</v>
          </cell>
          <cell r="B917" t="str">
            <v>TV REINTEGRADOS</v>
          </cell>
          <cell r="C917" t="str">
            <v>Tabela de Valores Servidores Reintegrados</v>
          </cell>
          <cell r="D917" t="str">
            <v>40H</v>
          </cell>
          <cell r="E917">
            <v>41548</v>
          </cell>
          <cell r="G917" t="str">
            <v>62</v>
          </cell>
          <cell r="H917" t="str">
            <v>Auxiliar administrativo I - ASCAR</v>
          </cell>
          <cell r="I917" t="str">
            <v>Básico</v>
          </cell>
          <cell r="J917">
            <v>1560.4</v>
          </cell>
          <cell r="K917" t="str">
            <v>Parc Autonoma</v>
          </cell>
        </row>
        <row r="918">
          <cell r="A918" t="str">
            <v>TV REINTEGRADOS 63 40H</v>
          </cell>
          <cell r="B918" t="str">
            <v>TV REINTEGRADOS</v>
          </cell>
          <cell r="C918" t="str">
            <v>Tabela de Valores Servidores Reintegrados</v>
          </cell>
          <cell r="D918" t="str">
            <v>40H</v>
          </cell>
          <cell r="E918">
            <v>41548</v>
          </cell>
          <cell r="G918" t="str">
            <v>63</v>
          </cell>
          <cell r="H918" t="str">
            <v>Classificador I - ASCAR</v>
          </cell>
          <cell r="I918" t="str">
            <v>Básico</v>
          </cell>
          <cell r="J918">
            <v>2009.05</v>
          </cell>
          <cell r="K918" t="str">
            <v>Parc Autonoma</v>
          </cell>
        </row>
        <row r="919">
          <cell r="A919" t="str">
            <v>TV SALARIO MINIMO 01 40H</v>
          </cell>
          <cell r="B919" t="str">
            <v>TV SALARIO MINIMO</v>
          </cell>
          <cell r="C919" t="str">
            <v>Tabela de Valores de Salário Mínimo</v>
          </cell>
          <cell r="D919" t="str">
            <v>40H</v>
          </cell>
          <cell r="E919">
            <v>41640</v>
          </cell>
          <cell r="G919" t="str">
            <v>01</v>
          </cell>
          <cell r="H919" t="str">
            <v>Salário Mínimo</v>
          </cell>
          <cell r="I919" t="str">
            <v>Básico</v>
          </cell>
          <cell r="J919">
            <v>724</v>
          </cell>
        </row>
        <row r="920">
          <cell r="A920" t="str">
            <v>TV SAUDE PUBLICA 01 40H</v>
          </cell>
          <cell r="B920" t="str">
            <v>TV SAUDE PUBLICA</v>
          </cell>
          <cell r="C920" t="str">
            <v>Tabela de Valores Servidores da Saude</v>
          </cell>
          <cell r="D920" t="str">
            <v>40H</v>
          </cell>
          <cell r="E920">
            <v>41091</v>
          </cell>
          <cell r="G920" t="str">
            <v>01</v>
          </cell>
          <cell r="H920" t="str">
            <v>Nivel 1</v>
          </cell>
          <cell r="I920" t="str">
            <v>Básico</v>
          </cell>
          <cell r="J920">
            <v>347.47</v>
          </cell>
          <cell r="K920" t="str">
            <v>Gipps</v>
          </cell>
          <cell r="L920">
            <v>1</v>
          </cell>
        </row>
        <row r="921">
          <cell r="A921" t="str">
            <v>TV SAUDE PUBLICA 02 40H</v>
          </cell>
          <cell r="B921" t="str">
            <v>TV SAUDE PUBLICA</v>
          </cell>
          <cell r="C921" t="str">
            <v>Tabela de Valores Servidores da Saude</v>
          </cell>
          <cell r="D921" t="str">
            <v>40H</v>
          </cell>
          <cell r="E921">
            <v>41091</v>
          </cell>
          <cell r="G921" t="str">
            <v>02</v>
          </cell>
          <cell r="H921" t="str">
            <v>Nivel 2</v>
          </cell>
          <cell r="I921" t="str">
            <v>Básico</v>
          </cell>
          <cell r="J921">
            <v>362.94</v>
          </cell>
          <cell r="K921" t="str">
            <v>Gipps</v>
          </cell>
          <cell r="L921">
            <v>1</v>
          </cell>
        </row>
        <row r="922">
          <cell r="A922" t="str">
            <v>TV SAUDE PUBLICA 03 40H</v>
          </cell>
          <cell r="B922" t="str">
            <v>TV SAUDE PUBLICA</v>
          </cell>
          <cell r="C922" t="str">
            <v>Tabela de Valores Servidores da Saude</v>
          </cell>
          <cell r="D922" t="str">
            <v>40H</v>
          </cell>
          <cell r="E922">
            <v>41091</v>
          </cell>
          <cell r="G922" t="str">
            <v>03</v>
          </cell>
          <cell r="H922" t="str">
            <v>Nivel 3</v>
          </cell>
          <cell r="I922" t="str">
            <v>Básico</v>
          </cell>
          <cell r="J922">
            <v>381.88</v>
          </cell>
          <cell r="K922" t="str">
            <v>Gipps</v>
          </cell>
          <cell r="L922">
            <v>1</v>
          </cell>
        </row>
        <row r="923">
          <cell r="A923" t="str">
            <v>TV SAUDE PUBLICA 04 40H</v>
          </cell>
          <cell r="B923" t="str">
            <v>TV SAUDE PUBLICA</v>
          </cell>
          <cell r="C923" t="str">
            <v>Tabela de Valores Servidores da Saude</v>
          </cell>
          <cell r="D923" t="str">
            <v>40H</v>
          </cell>
          <cell r="E923">
            <v>41091</v>
          </cell>
          <cell r="G923" t="str">
            <v>04</v>
          </cell>
          <cell r="H923" t="str">
            <v>Nivel 4</v>
          </cell>
          <cell r="I923" t="str">
            <v>Básico</v>
          </cell>
          <cell r="J923">
            <v>399.63</v>
          </cell>
          <cell r="K923" t="str">
            <v>Gipps</v>
          </cell>
          <cell r="L923">
            <v>1</v>
          </cell>
        </row>
        <row r="924">
          <cell r="A924" t="str">
            <v>TV SAUDE PUBLICA 05 40H</v>
          </cell>
          <cell r="B924" t="str">
            <v>TV SAUDE PUBLICA</v>
          </cell>
          <cell r="C924" t="str">
            <v>Tabela de Valores Servidores da Saude</v>
          </cell>
          <cell r="D924" t="str">
            <v>40H</v>
          </cell>
          <cell r="E924">
            <v>41091</v>
          </cell>
          <cell r="G924" t="str">
            <v>05</v>
          </cell>
          <cell r="H924" t="str">
            <v>Nivel 5</v>
          </cell>
          <cell r="I924" t="str">
            <v>Básico</v>
          </cell>
          <cell r="J924">
            <v>531.16</v>
          </cell>
          <cell r="K924" t="str">
            <v>Gipps</v>
          </cell>
          <cell r="L924">
            <v>1</v>
          </cell>
        </row>
        <row r="925">
          <cell r="A925" t="str">
            <v>TV SAUDE PUBLICA 06 40H</v>
          </cell>
          <cell r="B925" t="str">
            <v>TV SAUDE PUBLICA</v>
          </cell>
          <cell r="C925" t="str">
            <v>Tabela de Valores Servidores da Saude</v>
          </cell>
          <cell r="D925" t="str">
            <v>40H</v>
          </cell>
          <cell r="E925">
            <v>41091</v>
          </cell>
          <cell r="G925" t="str">
            <v>06</v>
          </cell>
          <cell r="H925" t="str">
            <v>Nivel 6</v>
          </cell>
          <cell r="I925" t="str">
            <v>Básico</v>
          </cell>
          <cell r="J925">
            <v>557.77</v>
          </cell>
          <cell r="K925" t="str">
            <v>Gipps</v>
          </cell>
          <cell r="L925">
            <v>1</v>
          </cell>
        </row>
        <row r="926">
          <cell r="A926" t="str">
            <v>TV SAUDE PUBLICA 07 40H</v>
          </cell>
          <cell r="B926" t="str">
            <v>TV SAUDE PUBLICA</v>
          </cell>
          <cell r="C926" t="str">
            <v>Tabela de Valores Servidores da Saude</v>
          </cell>
          <cell r="D926" t="str">
            <v>40H</v>
          </cell>
          <cell r="E926">
            <v>41091</v>
          </cell>
          <cell r="G926" t="str">
            <v>07</v>
          </cell>
          <cell r="H926" t="str">
            <v>Nivel 7</v>
          </cell>
          <cell r="I926" t="str">
            <v>Básico</v>
          </cell>
          <cell r="J926">
            <v>585.83</v>
          </cell>
          <cell r="K926" t="str">
            <v>Gipps</v>
          </cell>
          <cell r="L926">
            <v>2</v>
          </cell>
        </row>
        <row r="927">
          <cell r="A927" t="str">
            <v>TV SAUDE PUBLICA 08 40H</v>
          </cell>
          <cell r="B927" t="str">
            <v>TV SAUDE PUBLICA</v>
          </cell>
          <cell r="C927" t="str">
            <v>Tabela de Valores Servidores da Saude</v>
          </cell>
          <cell r="D927" t="str">
            <v>40H</v>
          </cell>
          <cell r="E927">
            <v>41091</v>
          </cell>
          <cell r="G927" t="str">
            <v>08</v>
          </cell>
          <cell r="H927" t="str">
            <v>Nivel 8</v>
          </cell>
          <cell r="I927" t="str">
            <v>Básico</v>
          </cell>
          <cell r="J927">
            <v>617.72</v>
          </cell>
          <cell r="K927" t="str">
            <v>Gipps</v>
          </cell>
          <cell r="L927">
            <v>2</v>
          </cell>
        </row>
        <row r="928">
          <cell r="A928" t="str">
            <v>TV SAUDE PUBLICA 09 40H</v>
          </cell>
          <cell r="B928" t="str">
            <v>TV SAUDE PUBLICA</v>
          </cell>
          <cell r="C928" t="str">
            <v>Tabela de Valores Servidores da Saude</v>
          </cell>
          <cell r="D928" t="str">
            <v>40H</v>
          </cell>
          <cell r="E928">
            <v>41091</v>
          </cell>
          <cell r="G928" t="str">
            <v>09</v>
          </cell>
          <cell r="H928" t="str">
            <v>Nivel 9</v>
          </cell>
          <cell r="I928" t="str">
            <v>Básico</v>
          </cell>
          <cell r="J928">
            <v>649.26</v>
          </cell>
          <cell r="K928" t="str">
            <v>Gipps</v>
          </cell>
        </row>
        <row r="929">
          <cell r="A929" t="str">
            <v>TV SAUDE PUBLICA 10 40H</v>
          </cell>
          <cell r="B929" t="str">
            <v>TV SAUDE PUBLICA</v>
          </cell>
          <cell r="C929" t="str">
            <v>Tabela de Valores Servidores da Saude</v>
          </cell>
          <cell r="D929" t="str">
            <v>40H</v>
          </cell>
          <cell r="E929">
            <v>41091</v>
          </cell>
          <cell r="G929" t="str">
            <v>10</v>
          </cell>
          <cell r="H929" t="str">
            <v>Nivel 10</v>
          </cell>
          <cell r="I929" t="str">
            <v>Básico</v>
          </cell>
          <cell r="J929">
            <v>682.59</v>
          </cell>
          <cell r="K929" t="str">
            <v>Gipps</v>
          </cell>
        </row>
        <row r="930">
          <cell r="A930" t="str">
            <v>TV SAUDE PUBLICA 11 40H</v>
          </cell>
          <cell r="B930" t="str">
            <v>TV SAUDE PUBLICA</v>
          </cell>
          <cell r="C930" t="str">
            <v>Tabela de Valores Servidores da Saude</v>
          </cell>
          <cell r="D930" t="str">
            <v>40H</v>
          </cell>
          <cell r="E930">
            <v>41091</v>
          </cell>
          <cell r="G930" t="str">
            <v>11</v>
          </cell>
          <cell r="H930" t="str">
            <v>Nivel 11</v>
          </cell>
          <cell r="I930" t="str">
            <v>Básico</v>
          </cell>
          <cell r="J930">
            <v>717.48</v>
          </cell>
          <cell r="K930" t="str">
            <v>Gipps</v>
          </cell>
        </row>
        <row r="931">
          <cell r="A931" t="str">
            <v>TV SAUDE PUBLICA 1 01 40H</v>
          </cell>
          <cell r="B931" t="str">
            <v>TV SAUDE PUBLICA 1</v>
          </cell>
          <cell r="C931" t="str">
            <v>Tabela de Valores Servidores da Saude</v>
          </cell>
          <cell r="D931" t="str">
            <v>40H</v>
          </cell>
          <cell r="E931">
            <v>41091</v>
          </cell>
          <cell r="G931" t="str">
            <v>01</v>
          </cell>
          <cell r="H931" t="str">
            <v>Nivel 03</v>
          </cell>
          <cell r="I931" t="str">
            <v>Básico</v>
          </cell>
          <cell r="J931">
            <v>381.88</v>
          </cell>
          <cell r="K931" t="str">
            <v>Gipps</v>
          </cell>
          <cell r="L931">
            <v>1</v>
          </cell>
        </row>
        <row r="932">
          <cell r="A932" t="str">
            <v>TV SAUDE PUBLICA 1 02 40H</v>
          </cell>
          <cell r="B932" t="str">
            <v>TV SAUDE PUBLICA 1</v>
          </cell>
          <cell r="C932" t="str">
            <v>Tabela de Valores Servidores da Saude</v>
          </cell>
          <cell r="D932" t="str">
            <v>40H</v>
          </cell>
          <cell r="E932">
            <v>41091</v>
          </cell>
          <cell r="G932" t="str">
            <v>02</v>
          </cell>
          <cell r="H932" t="str">
            <v>Nivel 04</v>
          </cell>
          <cell r="I932" t="str">
            <v>Básico</v>
          </cell>
          <cell r="J932">
            <v>399.63</v>
          </cell>
          <cell r="K932" t="str">
            <v>Gipps</v>
          </cell>
          <cell r="L932">
            <v>1</v>
          </cell>
        </row>
        <row r="933">
          <cell r="A933" t="str">
            <v>TV SAUDE PUBLICA 1 03 40H</v>
          </cell>
          <cell r="B933" t="str">
            <v>TV SAUDE PUBLICA 1</v>
          </cell>
          <cell r="C933" t="str">
            <v>Tabela de Valores Servidores da Saude</v>
          </cell>
          <cell r="D933" t="str">
            <v>40H</v>
          </cell>
          <cell r="E933">
            <v>41091</v>
          </cell>
          <cell r="G933" t="str">
            <v>03</v>
          </cell>
          <cell r="H933" t="str">
            <v>Nivel 06</v>
          </cell>
          <cell r="I933" t="str">
            <v>Básico</v>
          </cell>
          <cell r="J933">
            <v>557.89</v>
          </cell>
          <cell r="K933" t="str">
            <v>Gipps</v>
          </cell>
          <cell r="L933">
            <v>1</v>
          </cell>
        </row>
        <row r="934">
          <cell r="A934" t="str">
            <v>TV SAUDE PUBLICA 1 E 01 30H</v>
          </cell>
          <cell r="B934" t="str">
            <v>TV SAUDE PUBLICA 1 E</v>
          </cell>
          <cell r="C934" t="str">
            <v>Tabela de Valores Servidores da Saude - Em Extinção</v>
          </cell>
          <cell r="D934" t="str">
            <v>30H</v>
          </cell>
          <cell r="E934">
            <v>41091</v>
          </cell>
          <cell r="G934" t="str">
            <v>01</v>
          </cell>
          <cell r="H934" t="str">
            <v>Nível 1</v>
          </cell>
          <cell r="I934" t="str">
            <v>Básico</v>
          </cell>
          <cell r="J934">
            <v>381.88</v>
          </cell>
          <cell r="K934" t="str">
            <v>Gipps</v>
          </cell>
          <cell r="L934">
            <v>1</v>
          </cell>
        </row>
        <row r="935">
          <cell r="A935" t="str">
            <v>TV SAUDE PUBLICA 1 E 02 30H</v>
          </cell>
          <cell r="B935" t="str">
            <v>TV SAUDE PUBLICA 1 E</v>
          </cell>
          <cell r="C935" t="str">
            <v>Tabela de Valores Servidores da Saude - Em Extinção</v>
          </cell>
          <cell r="D935" t="str">
            <v>30H</v>
          </cell>
          <cell r="E935">
            <v>41091</v>
          </cell>
          <cell r="G935" t="str">
            <v>02</v>
          </cell>
          <cell r="H935" t="str">
            <v>Nível 4</v>
          </cell>
          <cell r="I935" t="str">
            <v>Básico</v>
          </cell>
          <cell r="J935">
            <v>399.63</v>
          </cell>
          <cell r="K935" t="str">
            <v>Gipps</v>
          </cell>
          <cell r="L935">
            <v>1</v>
          </cell>
        </row>
        <row r="936">
          <cell r="A936" t="str">
            <v>TV SAUDE PUBLICA 1 E 03 30H</v>
          </cell>
          <cell r="B936" t="str">
            <v>TV SAUDE PUBLICA 1 E</v>
          </cell>
          <cell r="C936" t="str">
            <v>Tabela de Valores Servidores da Saude - Em Extinção</v>
          </cell>
          <cell r="D936" t="str">
            <v>30H</v>
          </cell>
          <cell r="E936">
            <v>41091</v>
          </cell>
          <cell r="G936" t="str">
            <v>03</v>
          </cell>
          <cell r="H936" t="str">
            <v>Nível 6</v>
          </cell>
          <cell r="I936" t="str">
            <v>Básico</v>
          </cell>
          <cell r="J936">
            <v>557.89</v>
          </cell>
          <cell r="K936" t="str">
            <v>Gipps</v>
          </cell>
          <cell r="L936">
            <v>1</v>
          </cell>
        </row>
        <row r="937">
          <cell r="A937" t="str">
            <v>TV SAUDE PUBLICA 2 01 30H</v>
          </cell>
          <cell r="B937" t="str">
            <v>TV SAUDE PUBLICA 2</v>
          </cell>
          <cell r="C937" t="str">
            <v>Tabela de Valores Servidores da Saude - Lei 13.417/10</v>
          </cell>
          <cell r="D937" t="str">
            <v>30H</v>
          </cell>
          <cell r="E937">
            <v>41609</v>
          </cell>
          <cell r="G937" t="str">
            <v>01</v>
          </cell>
          <cell r="H937" t="str">
            <v>NT 1 - Grau A</v>
          </cell>
          <cell r="I937" t="str">
            <v>Básico</v>
          </cell>
          <cell r="J937">
            <v>841.1</v>
          </cell>
          <cell r="K937" t="str">
            <v>Parc Aut Especial</v>
          </cell>
          <cell r="L937">
            <v>295</v>
          </cell>
        </row>
        <row r="938">
          <cell r="A938" t="str">
            <v>TV SAUDE PUBLICA 2 02 30H</v>
          </cell>
          <cell r="B938" t="str">
            <v>TV SAUDE PUBLICA 2</v>
          </cell>
          <cell r="C938" t="str">
            <v>Tabela de Valores Servidores da Saude - Lei 13.417/10</v>
          </cell>
          <cell r="D938" t="str">
            <v>30H</v>
          </cell>
          <cell r="E938">
            <v>41609</v>
          </cell>
          <cell r="G938" t="str">
            <v>02</v>
          </cell>
          <cell r="H938" t="str">
            <v>NT 1 - Grau B</v>
          </cell>
          <cell r="I938" t="str">
            <v>Básico</v>
          </cell>
          <cell r="J938">
            <v>874.74</v>
          </cell>
          <cell r="K938" t="str">
            <v>Parc Aut Especial</v>
          </cell>
          <cell r="L938">
            <v>283.7</v>
          </cell>
        </row>
        <row r="939">
          <cell r="A939" t="str">
            <v>TV SAUDE PUBLICA 2 03 30H</v>
          </cell>
          <cell r="B939" t="str">
            <v>TV SAUDE PUBLICA 2</v>
          </cell>
          <cell r="C939" t="str">
            <v>Tabela de Valores Servidores da Saude - Lei 13.417/10</v>
          </cell>
          <cell r="D939" t="str">
            <v>30H</v>
          </cell>
          <cell r="E939">
            <v>41609</v>
          </cell>
          <cell r="G939" t="str">
            <v>03</v>
          </cell>
          <cell r="H939" t="str">
            <v>NT 1 - Grau C</v>
          </cell>
          <cell r="I939" t="str">
            <v>Básico</v>
          </cell>
          <cell r="J939">
            <v>909.73</v>
          </cell>
          <cell r="K939" t="str">
            <v>Parc Aut Especial</v>
          </cell>
          <cell r="L939">
            <v>272.8</v>
          </cell>
        </row>
        <row r="940">
          <cell r="A940" t="str">
            <v>TV SAUDE PUBLICA 2 04 30H</v>
          </cell>
          <cell r="B940" t="str">
            <v>TV SAUDE PUBLICA 2</v>
          </cell>
          <cell r="C940" t="str">
            <v>Tabela de Valores Servidores da Saude - Lei 13.417/10</v>
          </cell>
          <cell r="D940" t="str">
            <v>30H</v>
          </cell>
          <cell r="E940">
            <v>41609</v>
          </cell>
          <cell r="G940" t="str">
            <v>04</v>
          </cell>
          <cell r="H940" t="str">
            <v>NT 1 - Grau D</v>
          </cell>
          <cell r="I940" t="str">
            <v>Básico</v>
          </cell>
          <cell r="J940">
            <v>946.12</v>
          </cell>
          <cell r="K940" t="str">
            <v>Parc Aut Especial</v>
          </cell>
          <cell r="L940">
            <v>262.4</v>
          </cell>
        </row>
        <row r="941">
          <cell r="A941" t="str">
            <v>TV SAUDE PUBLICA 2 05 30H</v>
          </cell>
          <cell r="B941" t="str">
            <v>TV SAUDE PUBLICA 2</v>
          </cell>
          <cell r="C941" t="str">
            <v>Tabela de Valores Servidores da Saude - Lei 13.417/10</v>
          </cell>
          <cell r="D941" t="str">
            <v>30H</v>
          </cell>
          <cell r="E941">
            <v>41609</v>
          </cell>
          <cell r="G941" t="str">
            <v>05</v>
          </cell>
          <cell r="H941" t="str">
            <v>NT 2 - Grau A</v>
          </cell>
          <cell r="I941" t="str">
            <v>Básico</v>
          </cell>
          <cell r="J941">
            <v>983.95</v>
          </cell>
          <cell r="K941" t="str">
            <v>Parc Aut Especial</v>
          </cell>
          <cell r="L941">
            <v>252.4</v>
          </cell>
        </row>
        <row r="942">
          <cell r="A942" t="str">
            <v>TV SAUDE PUBLICA 2 06 30H</v>
          </cell>
          <cell r="B942" t="str">
            <v>TV SAUDE PUBLICA 2</v>
          </cell>
          <cell r="C942" t="str">
            <v>Tabela de Valores Servidores da Saude - Lei 13.417/10</v>
          </cell>
          <cell r="D942" t="str">
            <v>30H</v>
          </cell>
          <cell r="E942">
            <v>41609</v>
          </cell>
          <cell r="G942" t="str">
            <v>06</v>
          </cell>
          <cell r="H942" t="str">
            <v>NT 2 - Grau B</v>
          </cell>
          <cell r="I942" t="str">
            <v>Básico</v>
          </cell>
          <cell r="J942">
            <v>1023.32</v>
          </cell>
          <cell r="K942" t="str">
            <v>Parc Aut Especial</v>
          </cell>
          <cell r="L942">
            <v>242.7</v>
          </cell>
        </row>
        <row r="943">
          <cell r="A943" t="str">
            <v>TV SAUDE PUBLICA 2 07 30H</v>
          </cell>
          <cell r="B943" t="str">
            <v>TV SAUDE PUBLICA 2</v>
          </cell>
          <cell r="C943" t="str">
            <v>Tabela de Valores Servidores da Saude - Lei 13.417/10</v>
          </cell>
          <cell r="D943" t="str">
            <v>30H</v>
          </cell>
          <cell r="E943">
            <v>41609</v>
          </cell>
          <cell r="G943" t="str">
            <v>07</v>
          </cell>
          <cell r="H943" t="str">
            <v>NT 2 - Grau C</v>
          </cell>
          <cell r="I943" t="str">
            <v>Básico</v>
          </cell>
          <cell r="J943">
            <v>1064.25</v>
          </cell>
          <cell r="K943" t="str">
            <v>Parc Aut Especial</v>
          </cell>
          <cell r="L943">
            <v>233.4</v>
          </cell>
        </row>
        <row r="944">
          <cell r="A944" t="str">
            <v>TV SAUDE PUBLICA 2 08 30H</v>
          </cell>
          <cell r="B944" t="str">
            <v>TV SAUDE PUBLICA 2</v>
          </cell>
          <cell r="C944" t="str">
            <v>Tabela de Valores Servidores da Saude - Lei 13.417/10</v>
          </cell>
          <cell r="D944" t="str">
            <v>30H</v>
          </cell>
          <cell r="E944">
            <v>41609</v>
          </cell>
          <cell r="G944" t="str">
            <v>08</v>
          </cell>
          <cell r="H944" t="str">
            <v>NT 2 - Grau D</v>
          </cell>
          <cell r="I944" t="str">
            <v>Básico</v>
          </cell>
          <cell r="J944">
            <v>1106.83</v>
          </cell>
          <cell r="K944" t="str">
            <v>Parc Aut Especial</v>
          </cell>
          <cell r="L944">
            <v>224.5</v>
          </cell>
        </row>
        <row r="945">
          <cell r="A945" t="str">
            <v>TV SAUDE PUBLICA 2 09 30H</v>
          </cell>
          <cell r="B945" t="str">
            <v>TV SAUDE PUBLICA 2</v>
          </cell>
          <cell r="C945" t="str">
            <v>Tabela de Valores Servidores da Saude - Lei 13.417/10</v>
          </cell>
          <cell r="D945" t="str">
            <v>30H</v>
          </cell>
          <cell r="E945">
            <v>41609</v>
          </cell>
          <cell r="G945" t="str">
            <v>09</v>
          </cell>
          <cell r="H945" t="str">
            <v>NT 3 - Grau A</v>
          </cell>
          <cell r="I945" t="str">
            <v>Básico</v>
          </cell>
          <cell r="J945">
            <v>1151.1</v>
          </cell>
          <cell r="K945" t="str">
            <v>Parc Aut Especial</v>
          </cell>
          <cell r="L945">
            <v>215.9</v>
          </cell>
        </row>
        <row r="946">
          <cell r="A946" t="str">
            <v>TV SAUDE PUBLICA 2 10 30H</v>
          </cell>
          <cell r="B946" t="str">
            <v>TV SAUDE PUBLICA 2</v>
          </cell>
          <cell r="C946" t="str">
            <v>Tabela de Valores Servidores da Saude - Lei 13.417/10</v>
          </cell>
          <cell r="D946" t="str">
            <v>30H</v>
          </cell>
          <cell r="E946">
            <v>41609</v>
          </cell>
          <cell r="G946" t="str">
            <v>10</v>
          </cell>
          <cell r="H946" t="str">
            <v>NT 3 - Grau B</v>
          </cell>
          <cell r="I946" t="str">
            <v>Básico</v>
          </cell>
          <cell r="J946">
            <v>1197.14</v>
          </cell>
          <cell r="K946" t="str">
            <v>Parc Aut Especial</v>
          </cell>
          <cell r="L946">
            <v>207.6</v>
          </cell>
        </row>
        <row r="947">
          <cell r="A947" t="str">
            <v>TV SAUDE PUBLICA 2 11 30H</v>
          </cell>
          <cell r="B947" t="str">
            <v>TV SAUDE PUBLICA 2</v>
          </cell>
          <cell r="C947" t="str">
            <v>Tabela de Valores Servidores da Saude - Lei 13.417/10</v>
          </cell>
          <cell r="D947" t="str">
            <v>30H</v>
          </cell>
          <cell r="E947">
            <v>41609</v>
          </cell>
          <cell r="G947" t="str">
            <v>11</v>
          </cell>
          <cell r="H947" t="str">
            <v>NT 3 - Grau C</v>
          </cell>
          <cell r="I947" t="str">
            <v>Básico</v>
          </cell>
          <cell r="J947">
            <v>1245.04</v>
          </cell>
          <cell r="K947" t="str">
            <v>Parc Aut Especial</v>
          </cell>
          <cell r="L947">
            <v>199.7</v>
          </cell>
        </row>
        <row r="948">
          <cell r="A948" t="str">
            <v>TV SAUDE PUBLICA 2 12 30H</v>
          </cell>
          <cell r="B948" t="str">
            <v>TV SAUDE PUBLICA 2</v>
          </cell>
          <cell r="C948" t="str">
            <v>Tabela de Valores Servidores da Saude - Lei 13.417/10</v>
          </cell>
          <cell r="D948" t="str">
            <v>30H</v>
          </cell>
          <cell r="E948">
            <v>41609</v>
          </cell>
          <cell r="G948" t="str">
            <v>12</v>
          </cell>
          <cell r="H948" t="str">
            <v>NT 3 - Grau D</v>
          </cell>
          <cell r="I948" t="str">
            <v>Básico</v>
          </cell>
          <cell r="J948">
            <v>1294.83</v>
          </cell>
          <cell r="K948" t="str">
            <v>Parc Aut Especial</v>
          </cell>
          <cell r="L948">
            <v>192.1</v>
          </cell>
        </row>
        <row r="949">
          <cell r="A949" t="str">
            <v>TV SAUDE PUBLICA 2 13 30H</v>
          </cell>
          <cell r="B949" t="str">
            <v>TV SAUDE PUBLICA 2</v>
          </cell>
          <cell r="C949" t="str">
            <v>Tabela de Valores Servidores da Saude - Lei 13.417/10</v>
          </cell>
          <cell r="D949" t="str">
            <v>30H</v>
          </cell>
          <cell r="E949">
            <v>41609</v>
          </cell>
          <cell r="G949" t="str">
            <v>13</v>
          </cell>
          <cell r="H949" t="str">
            <v>NM 1 - Grau A</v>
          </cell>
          <cell r="I949" t="str">
            <v>Básico</v>
          </cell>
          <cell r="J949">
            <v>800.2</v>
          </cell>
          <cell r="K949" t="str">
            <v>Parc Aut Especial</v>
          </cell>
          <cell r="L949">
            <v>310</v>
          </cell>
        </row>
        <row r="950">
          <cell r="A950" t="str">
            <v>TV SAUDE PUBLICA 2 14 30H</v>
          </cell>
          <cell r="B950" t="str">
            <v>TV SAUDE PUBLICA 2</v>
          </cell>
          <cell r="C950" t="str">
            <v>Tabela de Valores Servidores da Saude - Lei 13.417/10</v>
          </cell>
          <cell r="D950" t="str">
            <v>30H</v>
          </cell>
          <cell r="E950">
            <v>41609</v>
          </cell>
          <cell r="G950" t="str">
            <v>14</v>
          </cell>
          <cell r="H950" t="str">
            <v>NM 1 - Grau B</v>
          </cell>
          <cell r="I950" t="str">
            <v>Básico</v>
          </cell>
          <cell r="J950">
            <v>832.2</v>
          </cell>
          <cell r="K950" t="str">
            <v>Parc Aut Especial</v>
          </cell>
          <cell r="L950">
            <v>298.1</v>
          </cell>
        </row>
        <row r="951">
          <cell r="A951" t="str">
            <v>TV SAUDE PUBLICA 2 15 30H</v>
          </cell>
          <cell r="B951" t="str">
            <v>TV SAUDE PUBLICA 2</v>
          </cell>
          <cell r="C951" t="str">
            <v>Tabela de Valores Servidores da Saude - Lei 13.417/10</v>
          </cell>
          <cell r="D951" t="str">
            <v>30H</v>
          </cell>
          <cell r="E951">
            <v>41609</v>
          </cell>
          <cell r="G951" t="str">
            <v>15</v>
          </cell>
          <cell r="H951" t="str">
            <v>NM 1 - Grau C</v>
          </cell>
          <cell r="I951" t="str">
            <v>Básico</v>
          </cell>
          <cell r="J951">
            <v>865.5</v>
          </cell>
          <cell r="K951" t="str">
            <v>Parc Aut Especial</v>
          </cell>
          <cell r="L951">
            <v>286.7</v>
          </cell>
        </row>
        <row r="952">
          <cell r="A952" t="str">
            <v>TV SAUDE PUBLICA 2 16 30H</v>
          </cell>
          <cell r="B952" t="str">
            <v>TV SAUDE PUBLICA 2</v>
          </cell>
          <cell r="C952" t="str">
            <v>Tabela de Valores Servidores da Saude - Lei 13.417/10</v>
          </cell>
          <cell r="D952" t="str">
            <v>30H</v>
          </cell>
          <cell r="E952">
            <v>41609</v>
          </cell>
          <cell r="G952" t="str">
            <v>16</v>
          </cell>
          <cell r="H952" t="str">
            <v>NM 1 - Grau D</v>
          </cell>
          <cell r="I952" t="str">
            <v>Básico</v>
          </cell>
          <cell r="J952">
            <v>900.11</v>
          </cell>
          <cell r="K952" t="str">
            <v>Parc Aut Especial</v>
          </cell>
          <cell r="L952">
            <v>275.7</v>
          </cell>
        </row>
        <row r="953">
          <cell r="A953" t="str">
            <v>TV SAUDE PUBLICA 2 17 30H</v>
          </cell>
          <cell r="B953" t="str">
            <v>TV SAUDE PUBLICA 2</v>
          </cell>
          <cell r="C953" t="str">
            <v>Tabela de Valores Servidores da Saude - Lei 13.417/10</v>
          </cell>
          <cell r="D953" t="str">
            <v>30H</v>
          </cell>
          <cell r="E953">
            <v>41609</v>
          </cell>
          <cell r="G953" t="str">
            <v>17</v>
          </cell>
          <cell r="H953" t="str">
            <v>NM 2 - Grau A</v>
          </cell>
          <cell r="I953" t="str">
            <v>Básico</v>
          </cell>
          <cell r="J953">
            <v>936.11</v>
          </cell>
          <cell r="K953" t="str">
            <v>Parc Aut Especial</v>
          </cell>
          <cell r="L953">
            <v>265.1</v>
          </cell>
        </row>
        <row r="954">
          <cell r="A954" t="str">
            <v>TV SAUDE PUBLICA 2 18 30H</v>
          </cell>
          <cell r="B954" t="str">
            <v>TV SAUDE PUBLICA 2</v>
          </cell>
          <cell r="C954" t="str">
            <v>Tabela de Valores Servidores da Saude - Lei 13.417/10</v>
          </cell>
          <cell r="D954" t="str">
            <v>30H</v>
          </cell>
          <cell r="E954">
            <v>41609</v>
          </cell>
          <cell r="G954" t="str">
            <v>18</v>
          </cell>
          <cell r="H954" t="str">
            <v>NM 2 - Grau B</v>
          </cell>
          <cell r="I954" t="str">
            <v>Básico</v>
          </cell>
          <cell r="J954">
            <v>973.56</v>
          </cell>
          <cell r="K954" t="str">
            <v>Parc Aut Especial</v>
          </cell>
          <cell r="L954">
            <v>255</v>
          </cell>
        </row>
        <row r="955">
          <cell r="A955" t="str">
            <v>TV SAUDE PUBLICA 2 19 30H</v>
          </cell>
          <cell r="B955" t="str">
            <v>TV SAUDE PUBLICA 2</v>
          </cell>
          <cell r="C955" t="str">
            <v>Tabela de Valores Servidores da Saude - Lei 13.417/10</v>
          </cell>
          <cell r="D955" t="str">
            <v>30H</v>
          </cell>
          <cell r="E955">
            <v>41609</v>
          </cell>
          <cell r="G955" t="str">
            <v>19</v>
          </cell>
          <cell r="H955" t="str">
            <v>NM 2 - Grau C</v>
          </cell>
          <cell r="I955" t="str">
            <v>Básico</v>
          </cell>
          <cell r="J955">
            <v>1012.5</v>
          </cell>
          <cell r="K955" t="str">
            <v>Parc Aut Especial</v>
          </cell>
          <cell r="L955">
            <v>245.2</v>
          </cell>
        </row>
        <row r="956">
          <cell r="A956" t="str">
            <v>TV SAUDE PUBLICA 2 20 30H</v>
          </cell>
          <cell r="B956" t="str">
            <v>TV SAUDE PUBLICA 2</v>
          </cell>
          <cell r="C956" t="str">
            <v>Tabela de Valores Servidores da Saude - Lei 13.417/10</v>
          </cell>
          <cell r="D956" t="str">
            <v>30H</v>
          </cell>
          <cell r="E956">
            <v>41609</v>
          </cell>
          <cell r="G956" t="str">
            <v>20</v>
          </cell>
          <cell r="H956" t="str">
            <v>NM 2 - Grau D</v>
          </cell>
          <cell r="I956" t="str">
            <v>Básico</v>
          </cell>
          <cell r="J956">
            <v>1053</v>
          </cell>
          <cell r="K956" t="str">
            <v>Parc Aut Especial</v>
          </cell>
          <cell r="L956">
            <v>235.8</v>
          </cell>
        </row>
        <row r="957">
          <cell r="A957" t="str">
            <v>TV SAUDE PUBLICA 2 21 30H</v>
          </cell>
          <cell r="B957" t="str">
            <v>TV SAUDE PUBLICA 2</v>
          </cell>
          <cell r="C957" t="str">
            <v>Tabela de Valores Servidores da Saude - Lei 13.417/10</v>
          </cell>
          <cell r="D957" t="str">
            <v>30H</v>
          </cell>
          <cell r="E957">
            <v>41609</v>
          </cell>
          <cell r="G957" t="str">
            <v>21</v>
          </cell>
          <cell r="H957" t="str">
            <v>NM 3 - Grau A</v>
          </cell>
          <cell r="I957" t="str">
            <v>Básico</v>
          </cell>
          <cell r="J957">
            <v>1095.12</v>
          </cell>
          <cell r="K957" t="str">
            <v>Parc Aut Especial</v>
          </cell>
          <cell r="L957">
            <v>226.8</v>
          </cell>
        </row>
        <row r="958">
          <cell r="A958" t="str">
            <v>TV SAUDE PUBLICA 2 22 30H</v>
          </cell>
          <cell r="B958" t="str">
            <v>TV SAUDE PUBLICA 2</v>
          </cell>
          <cell r="C958" t="str">
            <v>Tabela de Valores Servidores da Saude - Lei 13.417/10</v>
          </cell>
          <cell r="D958" t="str">
            <v>30H</v>
          </cell>
          <cell r="E958">
            <v>41609</v>
          </cell>
          <cell r="G958" t="str">
            <v>22</v>
          </cell>
          <cell r="H958" t="str">
            <v>NM 3 - Grau B</v>
          </cell>
          <cell r="I958" t="str">
            <v>Básico</v>
          </cell>
          <cell r="J958">
            <v>1138.94</v>
          </cell>
          <cell r="K958" t="str">
            <v>Parc Aut Especial</v>
          </cell>
          <cell r="L958">
            <v>218.1</v>
          </cell>
        </row>
        <row r="959">
          <cell r="A959" t="str">
            <v>TV SAUDE PUBLICA 2 23 30H</v>
          </cell>
          <cell r="B959" t="str">
            <v>TV SAUDE PUBLICA 2</v>
          </cell>
          <cell r="C959" t="str">
            <v>Tabela de Valores Servidores da Saude - Lei 13.417/10</v>
          </cell>
          <cell r="D959" t="str">
            <v>30H</v>
          </cell>
          <cell r="E959">
            <v>41609</v>
          </cell>
          <cell r="G959" t="str">
            <v>23</v>
          </cell>
          <cell r="H959" t="str">
            <v>NM 3 - Grau C</v>
          </cell>
          <cell r="I959" t="str">
            <v>Básico</v>
          </cell>
          <cell r="J959">
            <v>1184.5</v>
          </cell>
          <cell r="K959" t="str">
            <v>Parc Aut Especial</v>
          </cell>
          <cell r="L959">
            <v>209.8</v>
          </cell>
        </row>
        <row r="960">
          <cell r="A960" t="str">
            <v>TV SAUDE PUBLICA 2 24 30H</v>
          </cell>
          <cell r="B960" t="str">
            <v>TV SAUDE PUBLICA 2</v>
          </cell>
          <cell r="C960" t="str">
            <v>Tabela de Valores Servidores da Saude - Lei 13.417/10</v>
          </cell>
          <cell r="D960" t="str">
            <v>30H</v>
          </cell>
          <cell r="E960">
            <v>41609</v>
          </cell>
          <cell r="G960" t="str">
            <v>24</v>
          </cell>
          <cell r="H960" t="str">
            <v>NM 3 - Grau D</v>
          </cell>
          <cell r="I960" t="str">
            <v>Básico</v>
          </cell>
          <cell r="J960">
            <v>1231.87</v>
          </cell>
          <cell r="K960" t="str">
            <v>Parc Aut Especial</v>
          </cell>
          <cell r="L960">
            <v>201.8</v>
          </cell>
        </row>
        <row r="961">
          <cell r="A961" t="str">
            <v>TV SAUDE PUBLICA 2 25 30H</v>
          </cell>
          <cell r="B961" t="str">
            <v>TV SAUDE PUBLICA 2</v>
          </cell>
          <cell r="C961" t="str">
            <v>Tabela de Valores Servidores da Saude - Lei 13.417/10</v>
          </cell>
          <cell r="D961" t="str">
            <v>30H</v>
          </cell>
          <cell r="E961">
            <v>41609</v>
          </cell>
          <cell r="G961" t="str">
            <v>25</v>
          </cell>
          <cell r="H961" t="str">
            <v>NF 1 - Grau A</v>
          </cell>
          <cell r="I961" t="str">
            <v>Básico</v>
          </cell>
          <cell r="J961">
            <v>724.15</v>
          </cell>
          <cell r="K961" t="str">
            <v>Parc Aut Especial</v>
          </cell>
          <cell r="L961">
            <v>345</v>
          </cell>
        </row>
        <row r="962">
          <cell r="A962" t="str">
            <v>TV SAUDE PUBLICA 2 26 30H</v>
          </cell>
          <cell r="B962" t="str">
            <v>TV SAUDE PUBLICA 2</v>
          </cell>
          <cell r="C962" t="str">
            <v>Tabela de Valores Servidores da Saude - Lei 13.417/10</v>
          </cell>
          <cell r="D962" t="str">
            <v>30H</v>
          </cell>
          <cell r="E962">
            <v>41609</v>
          </cell>
          <cell r="G962" t="str">
            <v>26</v>
          </cell>
          <cell r="H962" t="str">
            <v>NF 1 - Grau B</v>
          </cell>
          <cell r="I962" t="str">
            <v>Básico</v>
          </cell>
          <cell r="J962">
            <v>753.11</v>
          </cell>
          <cell r="K962" t="str">
            <v>Parc Aut Especial</v>
          </cell>
          <cell r="L962">
            <v>331.8</v>
          </cell>
        </row>
        <row r="963">
          <cell r="A963" t="str">
            <v>TV SAUDE PUBLICA 2 27 30H</v>
          </cell>
          <cell r="B963" t="str">
            <v>TV SAUDE PUBLICA 2</v>
          </cell>
          <cell r="C963" t="str">
            <v>Tabela de Valores Servidores da Saude - Lei 13.417/10</v>
          </cell>
          <cell r="D963" t="str">
            <v>30H</v>
          </cell>
          <cell r="E963">
            <v>41609</v>
          </cell>
          <cell r="G963" t="str">
            <v>27</v>
          </cell>
          <cell r="H963" t="str">
            <v>NF 1 - Grau C</v>
          </cell>
          <cell r="I963" t="str">
            <v>Básico</v>
          </cell>
          <cell r="J963">
            <v>783.23</v>
          </cell>
          <cell r="K963" t="str">
            <v>Parc Aut Especial</v>
          </cell>
          <cell r="L963">
            <v>319.1</v>
          </cell>
        </row>
        <row r="964">
          <cell r="A964" t="str">
            <v>TV SAUDE PUBLICA 2 28 30H</v>
          </cell>
          <cell r="B964" t="str">
            <v>TV SAUDE PUBLICA 2</v>
          </cell>
          <cell r="C964" t="str">
            <v>Tabela de Valores Servidores da Saude - Lei 13.417/10</v>
          </cell>
          <cell r="D964" t="str">
            <v>30H</v>
          </cell>
          <cell r="E964">
            <v>41609</v>
          </cell>
          <cell r="G964" t="str">
            <v>28</v>
          </cell>
          <cell r="H964" t="str">
            <v>NF 1 - Grau D</v>
          </cell>
          <cell r="I964" t="str">
            <v>Básico</v>
          </cell>
          <cell r="J964">
            <v>814.57</v>
          </cell>
          <cell r="K964" t="str">
            <v>Parc Aut Especial</v>
          </cell>
          <cell r="L964">
            <v>306.9</v>
          </cell>
        </row>
        <row r="965">
          <cell r="A965" t="str">
            <v>TV SAUDE PUBLICA 2 29 30H</v>
          </cell>
          <cell r="B965" t="str">
            <v>TV SAUDE PUBLICA 2</v>
          </cell>
          <cell r="C965" t="str">
            <v>Tabela de Valores Servidores da Saude - Lei 13.417/10</v>
          </cell>
          <cell r="D965" t="str">
            <v>30H</v>
          </cell>
          <cell r="E965">
            <v>41609</v>
          </cell>
          <cell r="G965" t="str">
            <v>29</v>
          </cell>
          <cell r="H965" t="str">
            <v>NF 2 - Grau A</v>
          </cell>
          <cell r="I965" t="str">
            <v>Básico</v>
          </cell>
          <cell r="J965">
            <v>847.15</v>
          </cell>
          <cell r="K965" t="str">
            <v>Parc Aut Especial</v>
          </cell>
          <cell r="L965">
            <v>295.1</v>
          </cell>
        </row>
        <row r="966">
          <cell r="A966" t="str">
            <v>TV SAUDE PUBLICA 2 30 30H</v>
          </cell>
          <cell r="B966" t="str">
            <v>TV SAUDE PUBLICA 2</v>
          </cell>
          <cell r="C966" t="str">
            <v>Tabela de Valores Servidores da Saude - Lei 13.417/10</v>
          </cell>
          <cell r="D966" t="str">
            <v>30H</v>
          </cell>
          <cell r="E966">
            <v>41609</v>
          </cell>
          <cell r="G966" t="str">
            <v>30</v>
          </cell>
          <cell r="H966" t="str">
            <v>NF 2 - Grau B</v>
          </cell>
          <cell r="I966" t="str">
            <v>Básico</v>
          </cell>
          <cell r="J966">
            <v>881.04</v>
          </cell>
          <cell r="K966" t="str">
            <v>Parc Aut Especial</v>
          </cell>
          <cell r="L966">
            <v>283.8</v>
          </cell>
        </row>
        <row r="967">
          <cell r="A967" t="str">
            <v>TV SAUDE PUBLICA 2 31 30H</v>
          </cell>
          <cell r="B967" t="str">
            <v>TV SAUDE PUBLICA 2</v>
          </cell>
          <cell r="C967" t="str">
            <v>Tabela de Valores Servidores da Saude - Lei 13.417/10</v>
          </cell>
          <cell r="D967" t="str">
            <v>30H</v>
          </cell>
          <cell r="E967">
            <v>41609</v>
          </cell>
          <cell r="G967" t="str">
            <v>31</v>
          </cell>
          <cell r="H967" t="str">
            <v>NF 2 - Grau C</v>
          </cell>
          <cell r="I967" t="str">
            <v>Básico</v>
          </cell>
          <cell r="J967">
            <v>916.27</v>
          </cell>
          <cell r="K967" t="str">
            <v>Parc Aut Especial</v>
          </cell>
          <cell r="L967">
            <v>272.9</v>
          </cell>
        </row>
        <row r="968">
          <cell r="A968" t="str">
            <v>TV SAUDE PUBLICA 2 32 30H</v>
          </cell>
          <cell r="B968" t="str">
            <v>TV SAUDE PUBLICA 2</v>
          </cell>
          <cell r="C968" t="str">
            <v>Tabela de Valores Servidores da Saude - Lei 13.417/10</v>
          </cell>
          <cell r="D968" t="str">
            <v>30H</v>
          </cell>
          <cell r="E968">
            <v>41609</v>
          </cell>
          <cell r="G968" t="str">
            <v>32</v>
          </cell>
          <cell r="H968" t="str">
            <v>NF 2 - Grau D</v>
          </cell>
          <cell r="I968" t="str">
            <v>Básico</v>
          </cell>
          <cell r="J968">
            <v>952.93</v>
          </cell>
          <cell r="K968" t="str">
            <v>Parc Aut Especial</v>
          </cell>
          <cell r="L968">
            <v>262.5</v>
          </cell>
        </row>
        <row r="969">
          <cell r="A969" t="str">
            <v>TV SAUDE PUBLICA 2 33 30H</v>
          </cell>
          <cell r="B969" t="str">
            <v>TV SAUDE PUBLICA 2</v>
          </cell>
          <cell r="C969" t="str">
            <v>Tabela de Valores Servidores da Saude - Lei 13.417/10</v>
          </cell>
          <cell r="D969" t="str">
            <v>30H</v>
          </cell>
          <cell r="E969">
            <v>41609</v>
          </cell>
          <cell r="G969" t="str">
            <v>33</v>
          </cell>
          <cell r="H969" t="str">
            <v>NF 3 - Grau A</v>
          </cell>
          <cell r="I969" t="str">
            <v>Básico</v>
          </cell>
          <cell r="J969">
            <v>991.06</v>
          </cell>
          <cell r="K969" t="str">
            <v>Parc Aut Especial</v>
          </cell>
          <cell r="L969">
            <v>252.5</v>
          </cell>
        </row>
        <row r="970">
          <cell r="A970" t="str">
            <v>TV SAUDE PUBLICA 2 34 30H</v>
          </cell>
          <cell r="B970" t="str">
            <v>TV SAUDE PUBLICA 2</v>
          </cell>
          <cell r="C970" t="str">
            <v>Tabela de Valores Servidores da Saude - Lei 13.417/10</v>
          </cell>
          <cell r="D970" t="str">
            <v>30H</v>
          </cell>
          <cell r="E970">
            <v>41609</v>
          </cell>
          <cell r="G970" t="str">
            <v>34</v>
          </cell>
          <cell r="H970" t="str">
            <v>NF 3 - Grau B</v>
          </cell>
          <cell r="I970" t="str">
            <v>Básico</v>
          </cell>
          <cell r="J970">
            <v>1030.69</v>
          </cell>
          <cell r="K970" t="str">
            <v>Parc Aut Especial</v>
          </cell>
          <cell r="L970">
            <v>242.8</v>
          </cell>
        </row>
        <row r="971">
          <cell r="A971" t="str">
            <v>TV SAUDE PUBLICA 2 35 30H</v>
          </cell>
          <cell r="B971" t="str">
            <v>TV SAUDE PUBLICA 2</v>
          </cell>
          <cell r="C971" t="str">
            <v>Tabela de Valores Servidores da Saude - Lei 13.417/10</v>
          </cell>
          <cell r="D971" t="str">
            <v>30H</v>
          </cell>
          <cell r="E971">
            <v>41609</v>
          </cell>
          <cell r="G971" t="str">
            <v>35</v>
          </cell>
          <cell r="H971" t="str">
            <v>NF 3 - Grau C</v>
          </cell>
          <cell r="I971" t="str">
            <v>Básico</v>
          </cell>
          <cell r="J971">
            <v>1071.92</v>
          </cell>
          <cell r="K971" t="str">
            <v>Parc Aut Especial</v>
          </cell>
          <cell r="L971">
            <v>233.5</v>
          </cell>
        </row>
        <row r="972">
          <cell r="A972" t="str">
            <v>TV SAUDE PUBLICA 2 36 30H</v>
          </cell>
          <cell r="B972" t="str">
            <v>TV SAUDE PUBLICA 2</v>
          </cell>
          <cell r="C972" t="str">
            <v>Tabela de Valores Servidores da Saude - Lei 13.417/10</v>
          </cell>
          <cell r="D972" t="str">
            <v>30H</v>
          </cell>
          <cell r="E972">
            <v>41609</v>
          </cell>
          <cell r="G972" t="str">
            <v>36</v>
          </cell>
          <cell r="H972" t="str">
            <v>NF 3 - Grau D</v>
          </cell>
          <cell r="I972" t="str">
            <v>Básico</v>
          </cell>
          <cell r="J972">
            <v>1114.8</v>
          </cell>
          <cell r="K972" t="str">
            <v>Parc Aut Especial</v>
          </cell>
          <cell r="L972">
            <v>224.6</v>
          </cell>
        </row>
        <row r="973">
          <cell r="A973" t="str">
            <v>TV SAUDE PUBLICA EXT 01 30H</v>
          </cell>
          <cell r="B973" t="str">
            <v>TV SAUDE PUBLICA EXT</v>
          </cell>
          <cell r="C973" t="str">
            <v>Tabela de Valores Servidores da Saude - Em Extinção</v>
          </cell>
          <cell r="D973" t="str">
            <v>30H</v>
          </cell>
          <cell r="E973">
            <v>41091</v>
          </cell>
          <cell r="G973" t="str">
            <v>01</v>
          </cell>
          <cell r="H973" t="str">
            <v>Nivel 1</v>
          </cell>
          <cell r="I973" t="str">
            <v>Básico</v>
          </cell>
          <cell r="J973">
            <v>347.47</v>
          </cell>
          <cell r="K973" t="str">
            <v>Gipps</v>
          </cell>
          <cell r="L973">
            <v>1</v>
          </cell>
        </row>
        <row r="974">
          <cell r="A974" t="str">
            <v>TV SAUDE PUBLICA EXT 02 30H</v>
          </cell>
          <cell r="B974" t="str">
            <v>TV SAUDE PUBLICA EXT</v>
          </cell>
          <cell r="C974" t="str">
            <v>Tabela de Valores Servidores da Saude - Em Extinção</v>
          </cell>
          <cell r="D974" t="str">
            <v>30H</v>
          </cell>
          <cell r="E974">
            <v>41091</v>
          </cell>
          <cell r="G974" t="str">
            <v>02</v>
          </cell>
          <cell r="H974" t="str">
            <v>Nivel 2</v>
          </cell>
          <cell r="I974" t="str">
            <v>Básico</v>
          </cell>
          <cell r="J974">
            <v>362.94</v>
          </cell>
          <cell r="K974" t="str">
            <v>Gipps</v>
          </cell>
          <cell r="L974">
            <v>1</v>
          </cell>
        </row>
        <row r="975">
          <cell r="A975" t="str">
            <v>TV SAUDE PUBLICA EXT 03 30H</v>
          </cell>
          <cell r="B975" t="str">
            <v>TV SAUDE PUBLICA EXT</v>
          </cell>
          <cell r="C975" t="str">
            <v>Tabela de Valores Servidores da Saude - Em Extinção</v>
          </cell>
          <cell r="D975" t="str">
            <v>30H</v>
          </cell>
          <cell r="E975">
            <v>41091</v>
          </cell>
          <cell r="G975" t="str">
            <v>03</v>
          </cell>
          <cell r="H975" t="str">
            <v>Nivel 3</v>
          </cell>
          <cell r="I975" t="str">
            <v>Básico</v>
          </cell>
          <cell r="J975">
            <v>381.88</v>
          </cell>
          <cell r="K975" t="str">
            <v>Gipps</v>
          </cell>
          <cell r="L975">
            <v>1</v>
          </cell>
        </row>
        <row r="976">
          <cell r="A976" t="str">
            <v>TV SAUDE PUBLICA EXT 04 30H</v>
          </cell>
          <cell r="B976" t="str">
            <v>TV SAUDE PUBLICA EXT</v>
          </cell>
          <cell r="C976" t="str">
            <v>Tabela de Valores Servidores da Saude - Em Extinção</v>
          </cell>
          <cell r="D976" t="str">
            <v>30H</v>
          </cell>
          <cell r="E976">
            <v>41091</v>
          </cell>
          <cell r="G976" t="str">
            <v>04</v>
          </cell>
          <cell r="H976" t="str">
            <v>Nivel 4</v>
          </cell>
          <cell r="I976" t="str">
            <v>Básico</v>
          </cell>
          <cell r="J976">
            <v>399.63</v>
          </cell>
          <cell r="K976" t="str">
            <v>Gipps</v>
          </cell>
          <cell r="L976">
            <v>1</v>
          </cell>
        </row>
        <row r="977">
          <cell r="A977" t="str">
            <v>TV SAUDE PUBLICA EXT 05 30H</v>
          </cell>
          <cell r="B977" t="str">
            <v>TV SAUDE PUBLICA EXT</v>
          </cell>
          <cell r="C977" t="str">
            <v>Tabela de Valores Servidores da Saude - Em Extinção</v>
          </cell>
          <cell r="D977" t="str">
            <v>30H</v>
          </cell>
          <cell r="E977">
            <v>41091</v>
          </cell>
          <cell r="G977" t="str">
            <v>05</v>
          </cell>
          <cell r="H977" t="str">
            <v>Nivel 5</v>
          </cell>
          <cell r="I977" t="str">
            <v>Básico</v>
          </cell>
          <cell r="J977">
            <v>531.16</v>
          </cell>
          <cell r="K977" t="str">
            <v>Gipps</v>
          </cell>
          <cell r="L977">
            <v>1</v>
          </cell>
        </row>
        <row r="978">
          <cell r="A978" t="str">
            <v>TV SAUDE PUBLICA EXT 06 30H</v>
          </cell>
          <cell r="B978" t="str">
            <v>TV SAUDE PUBLICA EXT</v>
          </cell>
          <cell r="C978" t="str">
            <v>Tabela de Valores Servidores da Saude - Em Extinção</v>
          </cell>
          <cell r="D978" t="str">
            <v>30H</v>
          </cell>
          <cell r="E978">
            <v>41091</v>
          </cell>
          <cell r="G978" t="str">
            <v>06</v>
          </cell>
          <cell r="H978" t="str">
            <v>Nivel 6</v>
          </cell>
          <cell r="I978" t="str">
            <v>Básico</v>
          </cell>
          <cell r="J978">
            <v>557.77</v>
          </cell>
          <cell r="K978" t="str">
            <v>Gipps</v>
          </cell>
          <cell r="L978">
            <v>1</v>
          </cell>
        </row>
        <row r="979">
          <cell r="A979" t="str">
            <v>TV SAUDE PUBLICA EXT 07 30H</v>
          </cell>
          <cell r="B979" t="str">
            <v>TV SAUDE PUBLICA EXT</v>
          </cell>
          <cell r="C979" t="str">
            <v>Tabela de Valores Servidores da Saude - Em Extinção</v>
          </cell>
          <cell r="D979" t="str">
            <v>30H</v>
          </cell>
          <cell r="E979">
            <v>41091</v>
          </cell>
          <cell r="G979" t="str">
            <v>07</v>
          </cell>
          <cell r="H979" t="str">
            <v>Nivel 7</v>
          </cell>
          <cell r="I979" t="str">
            <v>Básico</v>
          </cell>
          <cell r="J979">
            <v>585.83</v>
          </cell>
          <cell r="K979" t="str">
            <v>Gipps</v>
          </cell>
          <cell r="L979">
            <v>2</v>
          </cell>
        </row>
        <row r="980">
          <cell r="A980" t="str">
            <v>TV SAUDE PUBLICA EXT 08 30H</v>
          </cell>
          <cell r="B980" t="str">
            <v>TV SAUDE PUBLICA EXT</v>
          </cell>
          <cell r="C980" t="str">
            <v>Tabela de Valores Servidores da Saude - Em Extinção</v>
          </cell>
          <cell r="D980" t="str">
            <v>30H</v>
          </cell>
          <cell r="E980">
            <v>41091</v>
          </cell>
          <cell r="G980" t="str">
            <v>08</v>
          </cell>
          <cell r="H980" t="str">
            <v>Nivel 8</v>
          </cell>
          <cell r="I980" t="str">
            <v>Básico</v>
          </cell>
          <cell r="J980">
            <v>617.72</v>
          </cell>
          <cell r="K980" t="str">
            <v>Gipps</v>
          </cell>
          <cell r="L980">
            <v>2</v>
          </cell>
        </row>
        <row r="981">
          <cell r="A981" t="str">
            <v>TV SAUDE PUBLICA EXT 09 30H</v>
          </cell>
          <cell r="B981" t="str">
            <v>TV SAUDE PUBLICA EXT</v>
          </cell>
          <cell r="C981" t="str">
            <v>Tabela de Valores Servidores da Saude - Em Extinção</v>
          </cell>
          <cell r="D981" t="str">
            <v>30H</v>
          </cell>
          <cell r="E981">
            <v>41091</v>
          </cell>
          <cell r="G981" t="str">
            <v>09</v>
          </cell>
          <cell r="H981" t="str">
            <v>Nivel 9</v>
          </cell>
          <cell r="I981" t="str">
            <v>Básico</v>
          </cell>
          <cell r="J981">
            <v>649.26</v>
          </cell>
          <cell r="K981" t="str">
            <v>Gipps</v>
          </cell>
        </row>
        <row r="982">
          <cell r="A982" t="str">
            <v>TV SAUDE PUBLICA EXT 10 30H</v>
          </cell>
          <cell r="B982" t="str">
            <v>TV SAUDE PUBLICA EXT</v>
          </cell>
          <cell r="C982" t="str">
            <v>Tabela de Valores Servidores da Saude - Em Extinção</v>
          </cell>
          <cell r="D982" t="str">
            <v>30H</v>
          </cell>
          <cell r="E982">
            <v>41091</v>
          </cell>
          <cell r="G982" t="str">
            <v>10</v>
          </cell>
          <cell r="H982" t="str">
            <v>Nivel 10</v>
          </cell>
          <cell r="I982" t="str">
            <v>Básico</v>
          </cell>
          <cell r="J982">
            <v>682.59</v>
          </cell>
          <cell r="K982" t="str">
            <v>Gipps</v>
          </cell>
        </row>
        <row r="983">
          <cell r="A983" t="str">
            <v>TV SAUDE PUBLICA EXT 11 30H</v>
          </cell>
          <cell r="B983" t="str">
            <v>TV SAUDE PUBLICA EXT</v>
          </cell>
          <cell r="C983" t="str">
            <v>Tabela de Valores Servidores da Saude - Em Extinção</v>
          </cell>
          <cell r="D983" t="str">
            <v>30H</v>
          </cell>
          <cell r="E983">
            <v>41091</v>
          </cell>
          <cell r="G983" t="str">
            <v>11</v>
          </cell>
          <cell r="H983" t="str">
            <v>Nivel 11</v>
          </cell>
          <cell r="I983" t="str">
            <v>Básico</v>
          </cell>
          <cell r="J983">
            <v>717.48</v>
          </cell>
          <cell r="K983" t="str">
            <v>Gipps</v>
          </cell>
        </row>
        <row r="984">
          <cell r="A984" t="str">
            <v>TV SAUDE SUPERIOR 01 40H</v>
          </cell>
          <cell r="B984" t="str">
            <v>TV SAUDE SUPERIOR</v>
          </cell>
          <cell r="C984" t="str">
            <v>Tabela de Valores Servidores da Saude - Nível Superior</v>
          </cell>
          <cell r="D984" t="str">
            <v>40H</v>
          </cell>
          <cell r="E984">
            <v>41091</v>
          </cell>
          <cell r="G984" t="str">
            <v>01</v>
          </cell>
          <cell r="H984" t="str">
            <v>Nivel 12</v>
          </cell>
          <cell r="I984" t="str">
            <v>Básico</v>
          </cell>
          <cell r="J984">
            <v>2564.58</v>
          </cell>
          <cell r="K984" t="str">
            <v>Parc Autonoma</v>
          </cell>
          <cell r="L984">
            <v>0</v>
          </cell>
          <cell r="M984" t="str">
            <v>Gipps</v>
          </cell>
          <cell r="N984">
            <v>3</v>
          </cell>
        </row>
        <row r="985">
          <cell r="A985" t="str">
            <v>TV SAUDE SUPERIOR 02 40H</v>
          </cell>
          <cell r="B985" t="str">
            <v>TV SAUDE SUPERIOR</v>
          </cell>
          <cell r="C985" t="str">
            <v>Tabela de Valores Servidores da Saude - Nível Superior</v>
          </cell>
          <cell r="D985" t="str">
            <v>40H</v>
          </cell>
          <cell r="E985">
            <v>41091</v>
          </cell>
          <cell r="G985" t="str">
            <v>02</v>
          </cell>
          <cell r="H985" t="str">
            <v>Nivel 13</v>
          </cell>
          <cell r="I985" t="str">
            <v>Básico</v>
          </cell>
          <cell r="J985">
            <v>2607.84</v>
          </cell>
          <cell r="K985" t="str">
            <v>Parc Autonoma</v>
          </cell>
          <cell r="L985">
            <v>0</v>
          </cell>
          <cell r="M985" t="str">
            <v>Gipps</v>
          </cell>
          <cell r="N985">
            <v>3</v>
          </cell>
        </row>
        <row r="986">
          <cell r="A986" t="str">
            <v>TV SAUDE SUPERIOR 03 40H</v>
          </cell>
          <cell r="B986" t="str">
            <v>TV SAUDE SUPERIOR</v>
          </cell>
          <cell r="C986" t="str">
            <v>Tabela de Valores Servidores da Saude - Nível Superior</v>
          </cell>
          <cell r="D986" t="str">
            <v>40H</v>
          </cell>
          <cell r="E986">
            <v>41091</v>
          </cell>
          <cell r="G986" t="str">
            <v>03</v>
          </cell>
          <cell r="H986" t="str">
            <v>Nivel 14</v>
          </cell>
          <cell r="I986" t="str">
            <v>Básico</v>
          </cell>
          <cell r="J986">
            <v>2734.26</v>
          </cell>
          <cell r="K986" t="str">
            <v>Parc Autonoma</v>
          </cell>
          <cell r="L986">
            <v>0</v>
          </cell>
          <cell r="M986" t="str">
            <v>Gipps</v>
          </cell>
        </row>
        <row r="987">
          <cell r="A987" t="str">
            <v>TV SAUDE SUPERIOR 04 40H</v>
          </cell>
          <cell r="B987" t="str">
            <v>TV SAUDE SUPERIOR</v>
          </cell>
          <cell r="C987" t="str">
            <v>Tabela de Valores Servidores da Saude - Nível Superior</v>
          </cell>
          <cell r="D987" t="str">
            <v>40H</v>
          </cell>
          <cell r="E987">
            <v>41091</v>
          </cell>
          <cell r="G987" t="str">
            <v>04</v>
          </cell>
          <cell r="H987" t="str">
            <v>Nivel 15</v>
          </cell>
          <cell r="I987" t="str">
            <v>Básico</v>
          </cell>
          <cell r="J987">
            <v>2852.3</v>
          </cell>
          <cell r="K987" t="str">
            <v>Parc Autonoma</v>
          </cell>
          <cell r="L987">
            <v>0</v>
          </cell>
          <cell r="M987" t="str">
            <v>Gipps</v>
          </cell>
        </row>
        <row r="988">
          <cell r="A988" t="str">
            <v>TV SAUDE SUPERIOR 05 40H</v>
          </cell>
          <cell r="B988" t="str">
            <v>TV SAUDE SUPERIOR</v>
          </cell>
          <cell r="C988" t="str">
            <v>Tabela de Valores Servidores da Saude - Nível Superior</v>
          </cell>
          <cell r="D988" t="str">
            <v>40H</v>
          </cell>
          <cell r="E988">
            <v>41091</v>
          </cell>
          <cell r="G988" t="str">
            <v>05</v>
          </cell>
          <cell r="H988" t="str">
            <v>Nivel 16</v>
          </cell>
          <cell r="I988" t="str">
            <v>Básico</v>
          </cell>
          <cell r="J988">
            <v>2903.81</v>
          </cell>
          <cell r="K988" t="str">
            <v>Parc Autonoma</v>
          </cell>
          <cell r="L988">
            <v>0</v>
          </cell>
          <cell r="M988" t="str">
            <v>Gipps</v>
          </cell>
        </row>
        <row r="989">
          <cell r="A989" t="str">
            <v>TV SAUDE SUPERIOR 1 01 30H</v>
          </cell>
          <cell r="B989" t="str">
            <v>TV SAUDE SUPERIOR 1</v>
          </cell>
          <cell r="C989" t="str">
            <v>Tabela de Valores Serv da Saude - Nív Sup - Lei 13.417/10</v>
          </cell>
          <cell r="D989" t="str">
            <v>30H</v>
          </cell>
          <cell r="E989">
            <v>41609</v>
          </cell>
          <cell r="G989" t="str">
            <v>01</v>
          </cell>
          <cell r="H989" t="str">
            <v>NS 1 - Grau A</v>
          </cell>
          <cell r="I989" t="str">
            <v>Básico</v>
          </cell>
          <cell r="J989">
            <v>3241.75</v>
          </cell>
        </row>
        <row r="990">
          <cell r="A990" t="str">
            <v>TV SAUDE SUPERIOR 1 02 30H</v>
          </cell>
          <cell r="B990" t="str">
            <v>TV SAUDE SUPERIOR 1</v>
          </cell>
          <cell r="C990" t="str">
            <v>Tabela de Valores Serv da Saude - Nív Sup - Lei 13.417/10</v>
          </cell>
          <cell r="D990" t="str">
            <v>30H</v>
          </cell>
          <cell r="E990">
            <v>41609</v>
          </cell>
          <cell r="G990" t="str">
            <v>02</v>
          </cell>
          <cell r="H990" t="str">
            <v>NS 1 - Grau B</v>
          </cell>
          <cell r="I990" t="str">
            <v>Básico</v>
          </cell>
          <cell r="J990">
            <v>3371.42</v>
          </cell>
        </row>
        <row r="991">
          <cell r="A991" t="str">
            <v>TV SAUDE SUPERIOR 1 03 30H</v>
          </cell>
          <cell r="B991" t="str">
            <v>TV SAUDE SUPERIOR 1</v>
          </cell>
          <cell r="C991" t="str">
            <v>Tabela de Valores Serv da Saude - Nív Sup - Lei 13.417/10</v>
          </cell>
          <cell r="D991" t="str">
            <v>30H</v>
          </cell>
          <cell r="E991">
            <v>41609</v>
          </cell>
          <cell r="G991" t="str">
            <v>03</v>
          </cell>
          <cell r="H991" t="str">
            <v>NS 1 - Grau C</v>
          </cell>
          <cell r="I991" t="str">
            <v>Básico</v>
          </cell>
          <cell r="J991">
            <v>3506.28</v>
          </cell>
        </row>
        <row r="992">
          <cell r="A992" t="str">
            <v>TV SAUDE SUPERIOR 1 04 30H</v>
          </cell>
          <cell r="B992" t="str">
            <v>TV SAUDE SUPERIOR 1</v>
          </cell>
          <cell r="C992" t="str">
            <v>Tabela de Valores Serv da Saude - Nív Sup - Lei 13.417/10</v>
          </cell>
          <cell r="D992" t="str">
            <v>30H</v>
          </cell>
          <cell r="E992">
            <v>41609</v>
          </cell>
          <cell r="G992" t="str">
            <v>04</v>
          </cell>
          <cell r="H992" t="str">
            <v>NS 1 - Grau D</v>
          </cell>
          <cell r="I992" t="str">
            <v>Básico</v>
          </cell>
          <cell r="J992">
            <v>3646.53</v>
          </cell>
        </row>
        <row r="993">
          <cell r="A993" t="str">
            <v>TV SAUDE SUPERIOR 1 05 30H</v>
          </cell>
          <cell r="B993" t="str">
            <v>TV SAUDE SUPERIOR 1</v>
          </cell>
          <cell r="C993" t="str">
            <v>Tabela de Valores Serv da Saude - Nív Sup - Lei 13.417/10</v>
          </cell>
          <cell r="D993" t="str">
            <v>30H</v>
          </cell>
          <cell r="E993">
            <v>41609</v>
          </cell>
          <cell r="G993" t="str">
            <v>05</v>
          </cell>
          <cell r="H993" t="str">
            <v>NS 2 - Grau A</v>
          </cell>
          <cell r="I993" t="str">
            <v>Básico</v>
          </cell>
          <cell r="J993">
            <v>3792.38</v>
          </cell>
        </row>
        <row r="994">
          <cell r="A994" t="str">
            <v>TV SAUDE SUPERIOR 1 06 30H</v>
          </cell>
          <cell r="B994" t="str">
            <v>TV SAUDE SUPERIOR 1</v>
          </cell>
          <cell r="C994" t="str">
            <v>Tabela de Valores Serv da Saude - Nív Sup - Lei 13.417/10</v>
          </cell>
          <cell r="D994" t="str">
            <v>30H</v>
          </cell>
          <cell r="E994">
            <v>41609</v>
          </cell>
          <cell r="G994" t="str">
            <v>06</v>
          </cell>
          <cell r="H994" t="str">
            <v>NS 2 - Grau B</v>
          </cell>
          <cell r="I994" t="str">
            <v>Básico</v>
          </cell>
          <cell r="J994">
            <v>3944.09</v>
          </cell>
        </row>
        <row r="995">
          <cell r="A995" t="str">
            <v>TV SAUDE SUPERIOR 1 07 30H</v>
          </cell>
          <cell r="B995" t="str">
            <v>TV SAUDE SUPERIOR 1</v>
          </cell>
          <cell r="C995" t="str">
            <v>Tabela de Valores Serv da Saude - Nív Sup - Lei 13.417/10</v>
          </cell>
          <cell r="D995" t="str">
            <v>30H</v>
          </cell>
          <cell r="E995">
            <v>41609</v>
          </cell>
          <cell r="G995" t="str">
            <v>07</v>
          </cell>
          <cell r="H995" t="str">
            <v>NS 2 - Grau C</v>
          </cell>
          <cell r="I995" t="str">
            <v>Básico</v>
          </cell>
          <cell r="J995">
            <v>4101.84</v>
          </cell>
        </row>
        <row r="996">
          <cell r="A996" t="str">
            <v>TV SAUDE SUPERIOR 1 08 30H</v>
          </cell>
          <cell r="B996" t="str">
            <v>TV SAUDE SUPERIOR 1</v>
          </cell>
          <cell r="C996" t="str">
            <v>Tabela de Valores Serv da Saude - Nív Sup - Lei 13.417/10</v>
          </cell>
          <cell r="D996" t="str">
            <v>30H</v>
          </cell>
          <cell r="E996">
            <v>41609</v>
          </cell>
          <cell r="G996" t="str">
            <v>08</v>
          </cell>
          <cell r="H996" t="str">
            <v>NS 2 - Grau D</v>
          </cell>
          <cell r="I996" t="str">
            <v>Básico</v>
          </cell>
          <cell r="J996">
            <v>4265.93</v>
          </cell>
        </row>
        <row r="997">
          <cell r="A997" t="str">
            <v>TV SAUDE SUPERIOR 1 09 30H</v>
          </cell>
          <cell r="B997" t="str">
            <v>TV SAUDE SUPERIOR 1</v>
          </cell>
          <cell r="C997" t="str">
            <v>Tabela de Valores Serv da Saude - Nív Sup - Lei 13.417/10</v>
          </cell>
          <cell r="D997" t="str">
            <v>30H</v>
          </cell>
          <cell r="E997">
            <v>41609</v>
          </cell>
          <cell r="G997" t="str">
            <v>09</v>
          </cell>
          <cell r="H997" t="str">
            <v>NS 3 - Grau A</v>
          </cell>
          <cell r="I997" t="str">
            <v>Básico</v>
          </cell>
          <cell r="J997">
            <v>4436.57</v>
          </cell>
        </row>
        <row r="998">
          <cell r="A998" t="str">
            <v>TV SAUDE SUPERIOR 1 10 30H</v>
          </cell>
          <cell r="B998" t="str">
            <v>TV SAUDE SUPERIOR 1</v>
          </cell>
          <cell r="C998" t="str">
            <v>Tabela de Valores Serv da Saude - Nív Sup - Lei 13.417/10</v>
          </cell>
          <cell r="D998" t="str">
            <v>30H</v>
          </cell>
          <cell r="E998">
            <v>41609</v>
          </cell>
          <cell r="G998" t="str">
            <v>10</v>
          </cell>
          <cell r="H998" t="str">
            <v>NS 3 - Grau B</v>
          </cell>
          <cell r="I998" t="str">
            <v>Básico</v>
          </cell>
          <cell r="J998">
            <v>4614.03</v>
          </cell>
        </row>
        <row r="999">
          <cell r="A999" t="str">
            <v>TV SAUDE SUPERIOR 1 11 30H</v>
          </cell>
          <cell r="B999" t="str">
            <v>TV SAUDE SUPERIOR 1</v>
          </cell>
          <cell r="C999" t="str">
            <v>Tabela de Valores Serv da Saude - Nív Sup - Lei 13.417/10</v>
          </cell>
          <cell r="D999" t="str">
            <v>30H</v>
          </cell>
          <cell r="E999">
            <v>41609</v>
          </cell>
          <cell r="G999" t="str">
            <v>11</v>
          </cell>
          <cell r="H999" t="str">
            <v>NS 3 - Grau C</v>
          </cell>
          <cell r="I999" t="str">
            <v>Básico</v>
          </cell>
          <cell r="J999">
            <v>4798.58</v>
          </cell>
        </row>
        <row r="1000">
          <cell r="A1000" t="str">
            <v>TV SAUDE SUPERIOR 1 12 30H</v>
          </cell>
          <cell r="B1000" t="str">
            <v>TV SAUDE SUPERIOR 1</v>
          </cell>
          <cell r="C1000" t="str">
            <v>Tabela de Valores Serv da Saude - Nív Sup - Lei 13.417/10</v>
          </cell>
          <cell r="D1000" t="str">
            <v>30H</v>
          </cell>
          <cell r="E1000">
            <v>41609</v>
          </cell>
          <cell r="G1000" t="str">
            <v>12</v>
          </cell>
          <cell r="H1000" t="str">
            <v>NS 3 - Grau D</v>
          </cell>
          <cell r="I1000" t="str">
            <v>Básico</v>
          </cell>
          <cell r="J1000">
            <v>4990.52</v>
          </cell>
        </row>
        <row r="1001">
          <cell r="A1001" t="str">
            <v>TV SAUDE SUPERIOR EX 01 30H</v>
          </cell>
          <cell r="B1001" t="str">
            <v>TV SAUDE SUPERIOR EX</v>
          </cell>
          <cell r="C1001" t="str">
            <v>Tabela de Valores Servidores da Saude Nível Superior-Em Exti</v>
          </cell>
          <cell r="D1001" t="str">
            <v>30H</v>
          </cell>
          <cell r="E1001">
            <v>41091</v>
          </cell>
          <cell r="G1001" t="str">
            <v>01</v>
          </cell>
          <cell r="H1001" t="str">
            <v>Nivel 12</v>
          </cell>
          <cell r="I1001" t="str">
            <v>Básico</v>
          </cell>
          <cell r="J1001">
            <v>2564.58</v>
          </cell>
          <cell r="K1001" t="str">
            <v>Gipps</v>
          </cell>
          <cell r="L1001">
            <v>3</v>
          </cell>
        </row>
        <row r="1002">
          <cell r="A1002" t="str">
            <v>TV SAUDE SUPERIOR EX 02 30H</v>
          </cell>
          <cell r="B1002" t="str">
            <v>TV SAUDE SUPERIOR EX</v>
          </cell>
          <cell r="C1002" t="str">
            <v>Tabela de Valores Servidores da Saude Nível Superior-Em Exti</v>
          </cell>
          <cell r="D1002" t="str">
            <v>30H</v>
          </cell>
          <cell r="E1002">
            <v>41091</v>
          </cell>
          <cell r="G1002" t="str">
            <v>02</v>
          </cell>
          <cell r="H1002" t="str">
            <v>Nivel 13</v>
          </cell>
          <cell r="I1002" t="str">
            <v>Básico</v>
          </cell>
          <cell r="J1002">
            <v>2607.84</v>
          </cell>
          <cell r="K1002" t="str">
            <v>Gipps</v>
          </cell>
          <cell r="L1002">
            <v>3</v>
          </cell>
        </row>
        <row r="1003">
          <cell r="A1003" t="str">
            <v>TV SAUDE SUPERIOR EX 03 30H</v>
          </cell>
          <cell r="B1003" t="str">
            <v>TV SAUDE SUPERIOR EX</v>
          </cell>
          <cell r="C1003" t="str">
            <v>Tabela de Valores Servidores da Saude Nível Superior-Em Exti</v>
          </cell>
          <cell r="D1003" t="str">
            <v>30H</v>
          </cell>
          <cell r="E1003">
            <v>41091</v>
          </cell>
          <cell r="G1003" t="str">
            <v>03</v>
          </cell>
          <cell r="H1003" t="str">
            <v>Nivel 14</v>
          </cell>
          <cell r="I1003" t="str">
            <v>Básico</v>
          </cell>
          <cell r="J1003">
            <v>2734.26</v>
          </cell>
          <cell r="K1003" t="str">
            <v>Gipps</v>
          </cell>
        </row>
        <row r="1004">
          <cell r="A1004" t="str">
            <v>TV SAUDE SUPERIOR EX 04 30H</v>
          </cell>
          <cell r="B1004" t="str">
            <v>TV SAUDE SUPERIOR EX</v>
          </cell>
          <cell r="C1004" t="str">
            <v>Tabela de Valores Servidores da Saude Nível Superior-Em Exti</v>
          </cell>
          <cell r="D1004" t="str">
            <v>30H</v>
          </cell>
          <cell r="E1004">
            <v>41091</v>
          </cell>
          <cell r="G1004" t="str">
            <v>04</v>
          </cell>
          <cell r="H1004" t="str">
            <v>Nivel 15</v>
          </cell>
          <cell r="I1004" t="str">
            <v>Básico</v>
          </cell>
          <cell r="J1004">
            <v>2852.3</v>
          </cell>
          <cell r="K1004" t="str">
            <v>Gipps</v>
          </cell>
        </row>
        <row r="1005">
          <cell r="A1005" t="str">
            <v>TV SAUDE SUPERIOR EX 05 30H</v>
          </cell>
          <cell r="B1005" t="str">
            <v>TV SAUDE SUPERIOR EX</v>
          </cell>
          <cell r="C1005" t="str">
            <v>Tabela de Valores Servidores da Saude Nível Superior-Em Exti</v>
          </cell>
          <cell r="D1005" t="str">
            <v>30H</v>
          </cell>
          <cell r="E1005">
            <v>41091</v>
          </cell>
          <cell r="G1005" t="str">
            <v>05</v>
          </cell>
          <cell r="H1005" t="str">
            <v>Nivel 16</v>
          </cell>
          <cell r="I1005" t="str">
            <v>Básico</v>
          </cell>
          <cell r="J1005">
            <v>2903.81</v>
          </cell>
          <cell r="K1005" t="str">
            <v>Gipps</v>
          </cell>
        </row>
        <row r="1006">
          <cell r="A1006" t="str">
            <v>TV SERV ESCOLA 01 40H</v>
          </cell>
          <cell r="B1006" t="str">
            <v>TV SERV ESCOLA</v>
          </cell>
          <cell r="C1006" t="str">
            <v>Tabela de Valores Servidores de Escola</v>
          </cell>
          <cell r="D1006" t="str">
            <v>40H</v>
          </cell>
          <cell r="E1006">
            <v>41579</v>
          </cell>
          <cell r="G1006" t="str">
            <v>01</v>
          </cell>
          <cell r="H1006" t="str">
            <v>Nivel 1 - Cl A</v>
          </cell>
          <cell r="I1006" t="str">
            <v>Básico</v>
          </cell>
          <cell r="J1006">
            <v>512.52</v>
          </cell>
        </row>
        <row r="1007">
          <cell r="A1007" t="str">
            <v>TV SERV ESCOLA 02 40H</v>
          </cell>
          <cell r="B1007" t="str">
            <v>TV SERV ESCOLA</v>
          </cell>
          <cell r="C1007" t="str">
            <v>Tabela de Valores Servidores de Escola</v>
          </cell>
          <cell r="D1007" t="str">
            <v>40H</v>
          </cell>
          <cell r="E1007">
            <v>41579</v>
          </cell>
          <cell r="G1007" t="str">
            <v>02</v>
          </cell>
          <cell r="H1007" t="str">
            <v>Nivel 2 - Cl A</v>
          </cell>
          <cell r="I1007" t="str">
            <v>Básico</v>
          </cell>
          <cell r="J1007">
            <v>922.53</v>
          </cell>
        </row>
        <row r="1008">
          <cell r="A1008" t="str">
            <v>TV SERV ESCOLA 03 40H</v>
          </cell>
          <cell r="B1008" t="str">
            <v>TV SERV ESCOLA</v>
          </cell>
          <cell r="C1008" t="str">
            <v>Tabela de Valores Servidores de Escola</v>
          </cell>
          <cell r="D1008" t="str">
            <v>40H</v>
          </cell>
          <cell r="E1008">
            <v>41579</v>
          </cell>
          <cell r="G1008" t="str">
            <v>03</v>
          </cell>
          <cell r="H1008" t="str">
            <v>Nivel 3 - Cl A</v>
          </cell>
          <cell r="I1008" t="str">
            <v>Básico</v>
          </cell>
          <cell r="J1008">
            <v>1332.55</v>
          </cell>
        </row>
        <row r="1009">
          <cell r="A1009" t="str">
            <v>TV SERV ESCOLA 04 40H</v>
          </cell>
          <cell r="B1009" t="str">
            <v>TV SERV ESCOLA</v>
          </cell>
          <cell r="C1009" t="str">
            <v>Tabela de Valores Servidores de Escola</v>
          </cell>
          <cell r="D1009" t="str">
            <v>40H</v>
          </cell>
          <cell r="E1009">
            <v>41579</v>
          </cell>
          <cell r="G1009" t="str">
            <v>04</v>
          </cell>
          <cell r="H1009" t="str">
            <v>Nivel 1 - Cl B</v>
          </cell>
          <cell r="I1009" t="str">
            <v>Básico</v>
          </cell>
          <cell r="J1009">
            <v>543.27</v>
          </cell>
        </row>
        <row r="1010">
          <cell r="A1010" t="str">
            <v>TV SERV ESCOLA 05 40H</v>
          </cell>
          <cell r="B1010" t="str">
            <v>TV SERV ESCOLA</v>
          </cell>
          <cell r="C1010" t="str">
            <v>Tabela de Valores Servidores de Escola</v>
          </cell>
          <cell r="D1010" t="str">
            <v>40H</v>
          </cell>
          <cell r="E1010">
            <v>41579</v>
          </cell>
          <cell r="G1010" t="str">
            <v>05</v>
          </cell>
          <cell r="H1010" t="str">
            <v>Nivel 2 - Cl B</v>
          </cell>
          <cell r="I1010" t="str">
            <v>Básico</v>
          </cell>
          <cell r="J1010">
            <v>977.88</v>
          </cell>
        </row>
        <row r="1011">
          <cell r="A1011" t="str">
            <v>TV SERV ESCOLA 06 40H</v>
          </cell>
          <cell r="B1011" t="str">
            <v>TV SERV ESCOLA</v>
          </cell>
          <cell r="C1011" t="str">
            <v>Tabela de Valores Servidores de Escola</v>
          </cell>
          <cell r="D1011" t="str">
            <v>40H</v>
          </cell>
          <cell r="E1011">
            <v>41579</v>
          </cell>
          <cell r="G1011" t="str">
            <v>06</v>
          </cell>
          <cell r="H1011" t="str">
            <v>Nivel 3 - Cl B</v>
          </cell>
          <cell r="I1011" t="str">
            <v>Básico</v>
          </cell>
          <cell r="J1011">
            <v>1412.5</v>
          </cell>
        </row>
        <row r="1012">
          <cell r="A1012" t="str">
            <v>TV SERV ESCOLA 07 40H</v>
          </cell>
          <cell r="B1012" t="str">
            <v>TV SERV ESCOLA</v>
          </cell>
          <cell r="C1012" t="str">
            <v>Tabela de Valores Servidores de Escola</v>
          </cell>
          <cell r="D1012" t="str">
            <v>40H</v>
          </cell>
          <cell r="E1012">
            <v>41579</v>
          </cell>
          <cell r="G1012" t="str">
            <v>07</v>
          </cell>
          <cell r="H1012" t="str">
            <v>Nivel 1 - Cl C</v>
          </cell>
          <cell r="I1012" t="str">
            <v>Básico</v>
          </cell>
          <cell r="J1012">
            <v>575.86</v>
          </cell>
        </row>
        <row r="1013">
          <cell r="A1013" t="str">
            <v>TV SERV ESCOLA 08 40H</v>
          </cell>
          <cell r="B1013" t="str">
            <v>TV SERV ESCOLA</v>
          </cell>
          <cell r="C1013" t="str">
            <v>Tabela de Valores Servidores de Escola</v>
          </cell>
          <cell r="D1013" t="str">
            <v>40H</v>
          </cell>
          <cell r="E1013">
            <v>41579</v>
          </cell>
          <cell r="G1013" t="str">
            <v>08</v>
          </cell>
          <cell r="H1013" t="str">
            <v>Nivel 2 - Cl C</v>
          </cell>
          <cell r="I1013" t="str">
            <v>Básico</v>
          </cell>
          <cell r="J1013">
            <v>1036.56</v>
          </cell>
        </row>
        <row r="1014">
          <cell r="A1014" t="str">
            <v>TV SERV ESCOLA 09 40H</v>
          </cell>
          <cell r="B1014" t="str">
            <v>TV SERV ESCOLA</v>
          </cell>
          <cell r="C1014" t="str">
            <v>Tabela de Valores Servidores de Escola</v>
          </cell>
          <cell r="D1014" t="str">
            <v>40H</v>
          </cell>
          <cell r="E1014">
            <v>41579</v>
          </cell>
          <cell r="G1014" t="str">
            <v>09</v>
          </cell>
          <cell r="H1014" t="str">
            <v>Nivel 3 - Cl C</v>
          </cell>
          <cell r="I1014" t="str">
            <v>Básico</v>
          </cell>
          <cell r="J1014">
            <v>1497.25</v>
          </cell>
        </row>
        <row r="1015">
          <cell r="A1015" t="str">
            <v>TV SERV ESCOLA 10 40H</v>
          </cell>
          <cell r="B1015" t="str">
            <v>TV SERV ESCOLA</v>
          </cell>
          <cell r="C1015" t="str">
            <v>Tabela de Valores Servidores de Escola</v>
          </cell>
          <cell r="D1015" t="str">
            <v>40H</v>
          </cell>
          <cell r="E1015">
            <v>41579</v>
          </cell>
          <cell r="G1015" t="str">
            <v>10</v>
          </cell>
          <cell r="H1015" t="str">
            <v>Nivel 1 - Cl D</v>
          </cell>
          <cell r="I1015" t="str">
            <v>Básico</v>
          </cell>
          <cell r="J1015">
            <v>610.41</v>
          </cell>
        </row>
        <row r="1016">
          <cell r="A1016" t="str">
            <v>TV SERV ESCOLA 11 40H</v>
          </cell>
          <cell r="B1016" t="str">
            <v>TV SERV ESCOLA</v>
          </cell>
          <cell r="C1016" t="str">
            <v>Tabela de Valores Servidores de Escola</v>
          </cell>
          <cell r="D1016" t="str">
            <v>40H</v>
          </cell>
          <cell r="E1016">
            <v>41579</v>
          </cell>
          <cell r="G1016" t="str">
            <v>11</v>
          </cell>
          <cell r="H1016" t="str">
            <v>Nivel 2 - Cl D</v>
          </cell>
          <cell r="I1016" t="str">
            <v>Básico</v>
          </cell>
          <cell r="J1016">
            <v>1098.74</v>
          </cell>
        </row>
        <row r="1017">
          <cell r="A1017" t="str">
            <v>TV SERV ESCOLA 12 40H</v>
          </cell>
          <cell r="B1017" t="str">
            <v>TV SERV ESCOLA</v>
          </cell>
          <cell r="C1017" t="str">
            <v>Tabela de Valores Servidores de Escola</v>
          </cell>
          <cell r="D1017" t="str">
            <v>40H</v>
          </cell>
          <cell r="E1017">
            <v>41579</v>
          </cell>
          <cell r="G1017" t="str">
            <v>12</v>
          </cell>
          <cell r="H1017" t="str">
            <v>Nivel 3 - Cl D</v>
          </cell>
          <cell r="I1017" t="str">
            <v>Básico</v>
          </cell>
          <cell r="J1017">
            <v>1587.06</v>
          </cell>
        </row>
        <row r="1018">
          <cell r="A1018" t="str">
            <v>TV SERV ESCOLA 13 40H</v>
          </cell>
          <cell r="B1018" t="str">
            <v>TV SERV ESCOLA</v>
          </cell>
          <cell r="C1018" t="str">
            <v>Tabela de Valores Servidores de Escola</v>
          </cell>
          <cell r="D1018" t="str">
            <v>40H</v>
          </cell>
          <cell r="E1018">
            <v>41579</v>
          </cell>
          <cell r="G1018" t="str">
            <v>13</v>
          </cell>
          <cell r="H1018" t="str">
            <v>Nivel 1 - Cl E</v>
          </cell>
          <cell r="I1018" t="str">
            <v>Básico</v>
          </cell>
          <cell r="J1018">
            <v>647</v>
          </cell>
        </row>
        <row r="1019">
          <cell r="A1019" t="str">
            <v>TV SERV ESCOLA 14 40H</v>
          </cell>
          <cell r="B1019" t="str">
            <v>TV SERV ESCOLA</v>
          </cell>
          <cell r="C1019" t="str">
            <v>Tabela de Valores Servidores de Escola</v>
          </cell>
          <cell r="D1019" t="str">
            <v>40H</v>
          </cell>
          <cell r="E1019">
            <v>41579</v>
          </cell>
          <cell r="G1019" t="str">
            <v>14</v>
          </cell>
          <cell r="H1019" t="str">
            <v>Nivel 2 - Cl E</v>
          </cell>
          <cell r="I1019" t="str">
            <v>Básico</v>
          </cell>
          <cell r="J1019">
            <v>1164.6</v>
          </cell>
        </row>
        <row r="1020">
          <cell r="A1020" t="str">
            <v>TV SERV ESCOLA 15 40H</v>
          </cell>
          <cell r="B1020" t="str">
            <v>TV SERV ESCOLA</v>
          </cell>
          <cell r="C1020" t="str">
            <v>Tabela de Valores Servidores de Escola</v>
          </cell>
          <cell r="D1020" t="str">
            <v>40H</v>
          </cell>
          <cell r="E1020">
            <v>41579</v>
          </cell>
          <cell r="G1020" t="str">
            <v>15</v>
          </cell>
          <cell r="H1020" t="str">
            <v>Nivel 3 - Cl E</v>
          </cell>
          <cell r="I1020" t="str">
            <v>Básico</v>
          </cell>
          <cell r="J1020">
            <v>1682.21</v>
          </cell>
        </row>
        <row r="1021">
          <cell r="A1021" t="str">
            <v>TV SERV ESCOLA 16 40H</v>
          </cell>
          <cell r="B1021" t="str">
            <v>TV SERV ESCOLA</v>
          </cell>
          <cell r="C1021" t="str">
            <v>Tabela de Valores Servidores de Escola</v>
          </cell>
          <cell r="D1021" t="str">
            <v>40H</v>
          </cell>
          <cell r="E1021">
            <v>41579</v>
          </cell>
          <cell r="G1021" t="str">
            <v>16</v>
          </cell>
          <cell r="H1021" t="str">
            <v>Nivel 1 - Cl F</v>
          </cell>
          <cell r="I1021" t="str">
            <v>Básico</v>
          </cell>
          <cell r="J1021">
            <v>686.77</v>
          </cell>
        </row>
        <row r="1022">
          <cell r="A1022" t="str">
            <v>TV SERV ESCOLA 17 40H</v>
          </cell>
          <cell r="B1022" t="str">
            <v>TV SERV ESCOLA</v>
          </cell>
          <cell r="C1022" t="str">
            <v>Tabela de Valores Servidores de Escola</v>
          </cell>
          <cell r="D1022" t="str">
            <v>40H</v>
          </cell>
          <cell r="E1022">
            <v>41579</v>
          </cell>
          <cell r="G1022" t="str">
            <v>17</v>
          </cell>
          <cell r="H1022" t="str">
            <v>Nivel 2 - Cl F</v>
          </cell>
          <cell r="I1022" t="str">
            <v>Básico</v>
          </cell>
          <cell r="J1022">
            <v>1236.19</v>
          </cell>
        </row>
        <row r="1023">
          <cell r="A1023" t="str">
            <v>TV SERV ESCOLA 18 40H</v>
          </cell>
          <cell r="B1023" t="str">
            <v>TV SERV ESCOLA</v>
          </cell>
          <cell r="C1023" t="str">
            <v>Tabela de Valores Servidores de Escola</v>
          </cell>
          <cell r="D1023" t="str">
            <v>40H</v>
          </cell>
          <cell r="E1023">
            <v>41579</v>
          </cell>
          <cell r="G1023" t="str">
            <v>18</v>
          </cell>
          <cell r="H1023" t="str">
            <v>Nivel 3 - Cl F</v>
          </cell>
          <cell r="I1023" t="str">
            <v>Básico</v>
          </cell>
          <cell r="J1023">
            <v>1785.61</v>
          </cell>
        </row>
        <row r="1024">
          <cell r="A1024" t="str">
            <v>TV SERV ESCOLA 1 01 40H</v>
          </cell>
          <cell r="B1024" t="str">
            <v>TV SERV ESCOLA 1</v>
          </cell>
          <cell r="C1024" t="str">
            <v>Tabela de Valores Servidores de Escola - Monitor</v>
          </cell>
          <cell r="D1024" t="str">
            <v>40H</v>
          </cell>
          <cell r="E1024">
            <v>41579</v>
          </cell>
          <cell r="G1024" t="str">
            <v>01</v>
          </cell>
          <cell r="H1024" t="str">
            <v>Nivel 1 - Cl A</v>
          </cell>
          <cell r="I1024" t="str">
            <v>Básico</v>
          </cell>
          <cell r="J1024">
            <v>617.07</v>
          </cell>
        </row>
        <row r="1025">
          <cell r="A1025" t="str">
            <v>TV SERV ESCOLA 1 02 40H</v>
          </cell>
          <cell r="B1025" t="str">
            <v>TV SERV ESCOLA 1</v>
          </cell>
          <cell r="C1025" t="str">
            <v>Tabela de Valores Servidores de Escola - Monitor</v>
          </cell>
          <cell r="D1025" t="str">
            <v>40H</v>
          </cell>
          <cell r="E1025">
            <v>41579</v>
          </cell>
          <cell r="G1025" t="str">
            <v>02</v>
          </cell>
          <cell r="H1025" t="str">
            <v>Nivel 2 - Cl A</v>
          </cell>
          <cell r="I1025" t="str">
            <v>Básico</v>
          </cell>
          <cell r="J1025">
            <v>922.53</v>
          </cell>
        </row>
        <row r="1026">
          <cell r="A1026" t="str">
            <v>TV SERV ESCOLA 1 03 40H</v>
          </cell>
          <cell r="B1026" t="str">
            <v>TV SERV ESCOLA 1</v>
          </cell>
          <cell r="C1026" t="str">
            <v>Tabela de Valores Servidores de Escola - Monitor</v>
          </cell>
          <cell r="D1026" t="str">
            <v>40H</v>
          </cell>
          <cell r="E1026">
            <v>41579</v>
          </cell>
          <cell r="G1026" t="str">
            <v>03</v>
          </cell>
          <cell r="H1026" t="str">
            <v>Nivel 3 - Cl A</v>
          </cell>
          <cell r="I1026" t="str">
            <v>Básico</v>
          </cell>
          <cell r="J1026">
            <v>1332.55</v>
          </cell>
        </row>
        <row r="1027">
          <cell r="A1027" t="str">
            <v>TV SERV ESCOLA 1 04 40H</v>
          </cell>
          <cell r="B1027" t="str">
            <v>TV SERV ESCOLA 1</v>
          </cell>
          <cell r="C1027" t="str">
            <v>Tabela de Valores Servidores de Escola - Monitor</v>
          </cell>
          <cell r="D1027" t="str">
            <v>40H</v>
          </cell>
          <cell r="E1027">
            <v>41579</v>
          </cell>
          <cell r="G1027" t="str">
            <v>04</v>
          </cell>
          <cell r="H1027" t="str">
            <v>Nivel 1 - Cl B</v>
          </cell>
          <cell r="I1027" t="str">
            <v>Básico</v>
          </cell>
          <cell r="J1027">
            <v>654.09</v>
          </cell>
        </row>
        <row r="1028">
          <cell r="A1028" t="str">
            <v>TV SERV ESCOLA 1 05 40H</v>
          </cell>
          <cell r="B1028" t="str">
            <v>TV SERV ESCOLA 1</v>
          </cell>
          <cell r="C1028" t="str">
            <v>Tabela de Valores Servidores de Escola - Monitor</v>
          </cell>
          <cell r="D1028" t="str">
            <v>40H</v>
          </cell>
          <cell r="E1028">
            <v>41579</v>
          </cell>
          <cell r="G1028" t="str">
            <v>05</v>
          </cell>
          <cell r="H1028" t="str">
            <v>Nivel 2 - Cl B</v>
          </cell>
          <cell r="I1028" t="str">
            <v>Básico</v>
          </cell>
          <cell r="J1028">
            <v>977.88</v>
          </cell>
        </row>
        <row r="1029">
          <cell r="A1029" t="str">
            <v>TV SERV ESCOLA 1 06 40H</v>
          </cell>
          <cell r="B1029" t="str">
            <v>TV SERV ESCOLA 1</v>
          </cell>
          <cell r="C1029" t="str">
            <v>Tabela de Valores Servidores de Escola - Monitor</v>
          </cell>
          <cell r="D1029" t="str">
            <v>40H</v>
          </cell>
          <cell r="E1029">
            <v>41579</v>
          </cell>
          <cell r="G1029" t="str">
            <v>06</v>
          </cell>
          <cell r="H1029" t="str">
            <v>Nivel 3 - Cl B</v>
          </cell>
          <cell r="I1029" t="str">
            <v>Básico</v>
          </cell>
          <cell r="J1029">
            <v>1412.5</v>
          </cell>
        </row>
        <row r="1030">
          <cell r="A1030" t="str">
            <v>TV SERV ESCOLA 1 07 40H</v>
          </cell>
          <cell r="B1030" t="str">
            <v>TV SERV ESCOLA 1</v>
          </cell>
          <cell r="C1030" t="str">
            <v>Tabela de Valores Servidores de Escola - Monitor</v>
          </cell>
          <cell r="D1030" t="str">
            <v>40H</v>
          </cell>
          <cell r="E1030">
            <v>41579</v>
          </cell>
          <cell r="G1030" t="str">
            <v>07</v>
          </cell>
          <cell r="H1030" t="str">
            <v>Nivel 1 - Cl C</v>
          </cell>
          <cell r="I1030" t="str">
            <v>Básico</v>
          </cell>
          <cell r="J1030">
            <v>693.34</v>
          </cell>
        </row>
        <row r="1031">
          <cell r="A1031" t="str">
            <v>TV SERV ESCOLA 1 08 40H</v>
          </cell>
          <cell r="B1031" t="str">
            <v>TV SERV ESCOLA 1</v>
          </cell>
          <cell r="C1031" t="str">
            <v>Tabela de Valores Servidores de Escola - Monitor</v>
          </cell>
          <cell r="D1031" t="str">
            <v>40H</v>
          </cell>
          <cell r="E1031">
            <v>41579</v>
          </cell>
          <cell r="G1031" t="str">
            <v>08</v>
          </cell>
          <cell r="H1031" t="str">
            <v>Nivel 2 - Cl C</v>
          </cell>
          <cell r="I1031" t="str">
            <v>Básico</v>
          </cell>
          <cell r="J1031">
            <v>1036.56</v>
          </cell>
        </row>
        <row r="1032">
          <cell r="A1032" t="str">
            <v>TV SERV ESCOLA 1 09 40H</v>
          </cell>
          <cell r="B1032" t="str">
            <v>TV SERV ESCOLA 1</v>
          </cell>
          <cell r="C1032" t="str">
            <v>Tabela de Valores Servidores de Escola - Monitor</v>
          </cell>
          <cell r="D1032" t="str">
            <v>40H</v>
          </cell>
          <cell r="E1032">
            <v>41579</v>
          </cell>
          <cell r="G1032" t="str">
            <v>09</v>
          </cell>
          <cell r="H1032" t="str">
            <v>Nivel 3 - Cl C</v>
          </cell>
          <cell r="I1032" t="str">
            <v>Básico</v>
          </cell>
          <cell r="J1032">
            <v>1497.25</v>
          </cell>
        </row>
        <row r="1033">
          <cell r="A1033" t="str">
            <v>TV SERV ESCOLA 1 10 40H</v>
          </cell>
          <cell r="B1033" t="str">
            <v>TV SERV ESCOLA 1</v>
          </cell>
          <cell r="C1033" t="str">
            <v>Tabela de Valores Servidores de Escola - Monitor</v>
          </cell>
          <cell r="D1033" t="str">
            <v>40H</v>
          </cell>
          <cell r="E1033">
            <v>41579</v>
          </cell>
          <cell r="G1033" t="str">
            <v>10</v>
          </cell>
          <cell r="H1033" t="str">
            <v>Nivel 1 - Cl D</v>
          </cell>
          <cell r="I1033" t="str">
            <v>Básico</v>
          </cell>
          <cell r="J1033">
            <v>734.93</v>
          </cell>
        </row>
        <row r="1034">
          <cell r="A1034" t="str">
            <v>TV SERV ESCOLA 1 11 40H</v>
          </cell>
          <cell r="B1034" t="str">
            <v>TV SERV ESCOLA 1</v>
          </cell>
          <cell r="C1034" t="str">
            <v>Tabela de Valores Servidores de Escola - Monitor</v>
          </cell>
          <cell r="D1034" t="str">
            <v>40H</v>
          </cell>
          <cell r="E1034">
            <v>41579</v>
          </cell>
          <cell r="G1034" t="str">
            <v>11</v>
          </cell>
          <cell r="H1034" t="str">
            <v>Nivel 2 - Cl D</v>
          </cell>
          <cell r="I1034" t="str">
            <v>Básico</v>
          </cell>
          <cell r="J1034">
            <v>1098.74</v>
          </cell>
        </row>
        <row r="1035">
          <cell r="A1035" t="str">
            <v>TV SERV ESCOLA 1 12 40H</v>
          </cell>
          <cell r="B1035" t="str">
            <v>TV SERV ESCOLA 1</v>
          </cell>
          <cell r="C1035" t="str">
            <v>Tabela de Valores Servidores de Escola - Monitor</v>
          </cell>
          <cell r="D1035" t="str">
            <v>40H</v>
          </cell>
          <cell r="E1035">
            <v>41579</v>
          </cell>
          <cell r="G1035" t="str">
            <v>12</v>
          </cell>
          <cell r="H1035" t="str">
            <v>Nivel 3 - Cl D</v>
          </cell>
          <cell r="I1035" t="str">
            <v>Básico</v>
          </cell>
          <cell r="J1035">
            <v>1587.06</v>
          </cell>
        </row>
        <row r="1036">
          <cell r="A1036" t="str">
            <v>TV SERV ESCOLA 1 13 40H</v>
          </cell>
          <cell r="B1036" t="str">
            <v>TV SERV ESCOLA 1</v>
          </cell>
          <cell r="C1036" t="str">
            <v>Tabela de Valores Servidores de Escola - Monitor</v>
          </cell>
          <cell r="D1036" t="str">
            <v>40H</v>
          </cell>
          <cell r="E1036">
            <v>41579</v>
          </cell>
          <cell r="G1036" t="str">
            <v>13</v>
          </cell>
          <cell r="H1036" t="str">
            <v>Nivel 1 - Cl E</v>
          </cell>
          <cell r="I1036" t="str">
            <v>Básico</v>
          </cell>
          <cell r="J1036">
            <v>778.99</v>
          </cell>
        </row>
        <row r="1037">
          <cell r="A1037" t="str">
            <v>TV SERV ESCOLA 1 14 40H</v>
          </cell>
          <cell r="B1037" t="str">
            <v>TV SERV ESCOLA 1</v>
          </cell>
          <cell r="C1037" t="str">
            <v>Tabela de Valores Servidores de Escola - Monitor</v>
          </cell>
          <cell r="D1037" t="str">
            <v>40H</v>
          </cell>
          <cell r="E1037">
            <v>41579</v>
          </cell>
          <cell r="G1037" t="str">
            <v>14</v>
          </cell>
          <cell r="H1037" t="str">
            <v>Nivel 2 - Cl E</v>
          </cell>
          <cell r="I1037" t="str">
            <v>Básico</v>
          </cell>
          <cell r="J1037">
            <v>1164.6</v>
          </cell>
        </row>
        <row r="1038">
          <cell r="A1038" t="str">
            <v>TV SERV ESCOLA 1 15 40H</v>
          </cell>
          <cell r="B1038" t="str">
            <v>TV SERV ESCOLA 1</v>
          </cell>
          <cell r="C1038" t="str">
            <v>Tabela de Valores Servidores de Escola - Monitor</v>
          </cell>
          <cell r="D1038" t="str">
            <v>40H</v>
          </cell>
          <cell r="E1038">
            <v>41579</v>
          </cell>
          <cell r="G1038" t="str">
            <v>15</v>
          </cell>
          <cell r="H1038" t="str">
            <v>Nivel 3 - Cl E</v>
          </cell>
          <cell r="I1038" t="str">
            <v>Básico</v>
          </cell>
          <cell r="J1038">
            <v>1682.21</v>
          </cell>
        </row>
        <row r="1039">
          <cell r="A1039" t="str">
            <v>TV SERV ESCOLA 1 16 40H</v>
          </cell>
          <cell r="B1039" t="str">
            <v>TV SERV ESCOLA 1</v>
          </cell>
          <cell r="C1039" t="str">
            <v>Tabela de Valores Servidores de Escola - Monitor</v>
          </cell>
          <cell r="D1039" t="str">
            <v>40H</v>
          </cell>
          <cell r="E1039">
            <v>41579</v>
          </cell>
          <cell r="G1039" t="str">
            <v>16</v>
          </cell>
          <cell r="H1039" t="str">
            <v>Nivel 1 - Cl F</v>
          </cell>
          <cell r="I1039" t="str">
            <v>Básico</v>
          </cell>
          <cell r="J1039">
            <v>826.87</v>
          </cell>
        </row>
        <row r="1040">
          <cell r="A1040" t="str">
            <v>TV SERV ESCOLA 1 17 40H</v>
          </cell>
          <cell r="B1040" t="str">
            <v>TV SERV ESCOLA 1</v>
          </cell>
          <cell r="C1040" t="str">
            <v>Tabela de Valores Servidores de Escola - Monitor</v>
          </cell>
          <cell r="D1040" t="str">
            <v>40H</v>
          </cell>
          <cell r="E1040">
            <v>41579</v>
          </cell>
          <cell r="G1040" t="str">
            <v>17</v>
          </cell>
          <cell r="H1040" t="str">
            <v>Nivel 2 - Cl F</v>
          </cell>
          <cell r="I1040" t="str">
            <v>Básico</v>
          </cell>
          <cell r="J1040">
            <v>1236.19</v>
          </cell>
        </row>
        <row r="1041">
          <cell r="A1041" t="str">
            <v>TV SERV ESCOLA 1 18 40H</v>
          </cell>
          <cell r="B1041" t="str">
            <v>TV SERV ESCOLA 1</v>
          </cell>
          <cell r="C1041" t="str">
            <v>Tabela de Valores Servidores de Escola - Monitor</v>
          </cell>
          <cell r="D1041" t="str">
            <v>40H</v>
          </cell>
          <cell r="E1041">
            <v>41579</v>
          </cell>
          <cell r="G1041" t="str">
            <v>18</v>
          </cell>
          <cell r="H1041" t="str">
            <v>Nivel 3 - Cl F</v>
          </cell>
          <cell r="I1041" t="str">
            <v>Básico</v>
          </cell>
          <cell r="J1041">
            <v>1785.61</v>
          </cell>
        </row>
        <row r="1042">
          <cell r="A1042" t="str">
            <v>TV SERV ESCOLA 2 01 40H</v>
          </cell>
          <cell r="B1042" t="str">
            <v>TV SERV ESCOLA 2</v>
          </cell>
          <cell r="C1042" t="str">
            <v>Tabela de Valores Servidores de Escola - Aux em Adminst</v>
          </cell>
          <cell r="D1042" t="str">
            <v>40H</v>
          </cell>
          <cell r="E1042">
            <v>41579</v>
          </cell>
          <cell r="G1042" t="str">
            <v>01</v>
          </cell>
          <cell r="H1042" t="str">
            <v>Nivel 1 - Cl A</v>
          </cell>
          <cell r="I1042" t="str">
            <v>Básico</v>
          </cell>
          <cell r="J1042">
            <v>789.28</v>
          </cell>
        </row>
        <row r="1043">
          <cell r="A1043" t="str">
            <v>TV SERV ESCOLA 2 02 40H</v>
          </cell>
          <cell r="B1043" t="str">
            <v>TV SERV ESCOLA 2</v>
          </cell>
          <cell r="C1043" t="str">
            <v>Tabela de Valores Servidores de Escola - Aux em Adminst</v>
          </cell>
          <cell r="D1043" t="str">
            <v>40H</v>
          </cell>
          <cell r="E1043">
            <v>41579</v>
          </cell>
          <cell r="G1043" t="str">
            <v>02</v>
          </cell>
          <cell r="H1043" t="str">
            <v>Nivel 2 - Cl A</v>
          </cell>
          <cell r="I1043" t="str">
            <v>Básico</v>
          </cell>
          <cell r="J1043">
            <v>922.53</v>
          </cell>
        </row>
        <row r="1044">
          <cell r="A1044" t="str">
            <v>TV SERV ESCOLA 2 03 40H</v>
          </cell>
          <cell r="B1044" t="str">
            <v>TV SERV ESCOLA 2</v>
          </cell>
          <cell r="C1044" t="str">
            <v>Tabela de Valores Servidores de Escola - Aux em Adminst</v>
          </cell>
          <cell r="D1044" t="str">
            <v>40H</v>
          </cell>
          <cell r="E1044">
            <v>41579</v>
          </cell>
          <cell r="G1044" t="str">
            <v>03</v>
          </cell>
          <cell r="H1044" t="str">
            <v>Nivel 3 - Cl A</v>
          </cell>
          <cell r="I1044" t="str">
            <v>Básico</v>
          </cell>
          <cell r="J1044">
            <v>1332.55</v>
          </cell>
        </row>
        <row r="1045">
          <cell r="A1045" t="str">
            <v>TV SERV ESCOLA 2 04 40H</v>
          </cell>
          <cell r="B1045" t="str">
            <v>TV SERV ESCOLA 2</v>
          </cell>
          <cell r="C1045" t="str">
            <v>Tabela de Valores Servidores de Escola - Aux em Adminst</v>
          </cell>
          <cell r="D1045" t="str">
            <v>40H</v>
          </cell>
          <cell r="E1045">
            <v>41579</v>
          </cell>
          <cell r="G1045" t="str">
            <v>04</v>
          </cell>
          <cell r="H1045" t="str">
            <v>Nivel 1 - Cl B</v>
          </cell>
          <cell r="I1045" t="str">
            <v>Básico</v>
          </cell>
          <cell r="J1045">
            <v>836.63</v>
          </cell>
        </row>
        <row r="1046">
          <cell r="A1046" t="str">
            <v>TV SERV ESCOLA 2 05 40H</v>
          </cell>
          <cell r="B1046" t="str">
            <v>TV SERV ESCOLA 2</v>
          </cell>
          <cell r="C1046" t="str">
            <v>Tabela de Valores Servidores de Escola - Aux em Adminst</v>
          </cell>
          <cell r="D1046" t="str">
            <v>40H</v>
          </cell>
          <cell r="E1046">
            <v>41579</v>
          </cell>
          <cell r="G1046" t="str">
            <v>05</v>
          </cell>
          <cell r="H1046" t="str">
            <v>Nivel 2 - Cl B</v>
          </cell>
          <cell r="I1046" t="str">
            <v>Básico</v>
          </cell>
          <cell r="J1046">
            <v>977.88</v>
          </cell>
        </row>
        <row r="1047">
          <cell r="A1047" t="str">
            <v>TV SERV ESCOLA 2 06 40H</v>
          </cell>
          <cell r="B1047" t="str">
            <v>TV SERV ESCOLA 2</v>
          </cell>
          <cell r="C1047" t="str">
            <v>Tabela de Valores Servidores de Escola - Aux em Adminst</v>
          </cell>
          <cell r="D1047" t="str">
            <v>40H</v>
          </cell>
          <cell r="E1047">
            <v>41579</v>
          </cell>
          <cell r="G1047" t="str">
            <v>06</v>
          </cell>
          <cell r="H1047" t="str">
            <v>Nivel 3 - Cl B</v>
          </cell>
          <cell r="I1047" t="str">
            <v>Básico</v>
          </cell>
          <cell r="J1047">
            <v>1412.5</v>
          </cell>
        </row>
        <row r="1048">
          <cell r="A1048" t="str">
            <v>TV SERV ESCOLA 2 07 40H</v>
          </cell>
          <cell r="B1048" t="str">
            <v>TV SERV ESCOLA 2</v>
          </cell>
          <cell r="C1048" t="str">
            <v>Tabela de Valores Servidores de Escola - Aux em Adminst</v>
          </cell>
          <cell r="D1048" t="str">
            <v>40H</v>
          </cell>
          <cell r="E1048">
            <v>41579</v>
          </cell>
          <cell r="G1048" t="str">
            <v>07</v>
          </cell>
          <cell r="H1048" t="str">
            <v>Nivel 1 - Cl C</v>
          </cell>
          <cell r="I1048" t="str">
            <v>Básico</v>
          </cell>
          <cell r="J1048">
            <v>886.83</v>
          </cell>
        </row>
        <row r="1049">
          <cell r="A1049" t="str">
            <v>TV SERV ESCOLA 2 08 40H</v>
          </cell>
          <cell r="B1049" t="str">
            <v>TV SERV ESCOLA 2</v>
          </cell>
          <cell r="C1049" t="str">
            <v>Tabela de Valores Servidores de Escola - Aux em Adminst</v>
          </cell>
          <cell r="D1049" t="str">
            <v>40H</v>
          </cell>
          <cell r="E1049">
            <v>41579</v>
          </cell>
          <cell r="G1049" t="str">
            <v>08</v>
          </cell>
          <cell r="H1049" t="str">
            <v>Nivel 2 - Cl C</v>
          </cell>
          <cell r="I1049" t="str">
            <v>Básico</v>
          </cell>
          <cell r="J1049">
            <v>1036.56</v>
          </cell>
        </row>
        <row r="1050">
          <cell r="A1050" t="str">
            <v>TV SERV ESCOLA 2 09 40H</v>
          </cell>
          <cell r="B1050" t="str">
            <v>TV SERV ESCOLA 2</v>
          </cell>
          <cell r="C1050" t="str">
            <v>Tabela de Valores Servidores de Escola - Aux em Adminst</v>
          </cell>
          <cell r="D1050" t="str">
            <v>40H</v>
          </cell>
          <cell r="E1050">
            <v>41579</v>
          </cell>
          <cell r="G1050" t="str">
            <v>09</v>
          </cell>
          <cell r="H1050" t="str">
            <v>Nivel 3 - Cl C</v>
          </cell>
          <cell r="I1050" t="str">
            <v>Básico</v>
          </cell>
          <cell r="J1050">
            <v>1497.25</v>
          </cell>
        </row>
        <row r="1051">
          <cell r="A1051" t="str">
            <v>TV SERV ESCOLA 2 10 40H</v>
          </cell>
          <cell r="B1051" t="str">
            <v>TV SERV ESCOLA 2</v>
          </cell>
          <cell r="C1051" t="str">
            <v>Tabela de Valores Servidores de Escola - Aux em Adminst</v>
          </cell>
          <cell r="D1051" t="str">
            <v>40H</v>
          </cell>
          <cell r="E1051">
            <v>41579</v>
          </cell>
          <cell r="G1051" t="str">
            <v>10</v>
          </cell>
          <cell r="H1051" t="str">
            <v>Nivel 1 - Cl D</v>
          </cell>
          <cell r="I1051" t="str">
            <v>Básico</v>
          </cell>
          <cell r="J1051">
            <v>940.03</v>
          </cell>
        </row>
        <row r="1052">
          <cell r="A1052" t="str">
            <v>TV SERV ESCOLA 2 11 40H</v>
          </cell>
          <cell r="B1052" t="str">
            <v>TV SERV ESCOLA 2</v>
          </cell>
          <cell r="C1052" t="str">
            <v>Tabela de Valores Servidores de Escola - Aux em Adminst</v>
          </cell>
          <cell r="D1052" t="str">
            <v>40H</v>
          </cell>
          <cell r="E1052">
            <v>41579</v>
          </cell>
          <cell r="G1052" t="str">
            <v>11</v>
          </cell>
          <cell r="H1052" t="str">
            <v>Nivel 2 - Cl D</v>
          </cell>
          <cell r="I1052" t="str">
            <v>Básico</v>
          </cell>
          <cell r="J1052">
            <v>1098.74</v>
          </cell>
        </row>
        <row r="1053">
          <cell r="A1053" t="str">
            <v>TV SERV ESCOLA 2 12 40H</v>
          </cell>
          <cell r="B1053" t="str">
            <v>TV SERV ESCOLA 2</v>
          </cell>
          <cell r="C1053" t="str">
            <v>Tabela de Valores Servidores de Escola - Aux em Adminst</v>
          </cell>
          <cell r="D1053" t="str">
            <v>40H</v>
          </cell>
          <cell r="E1053">
            <v>41579</v>
          </cell>
          <cell r="G1053" t="str">
            <v>12</v>
          </cell>
          <cell r="H1053" t="str">
            <v>Nivel 3 - Cl D</v>
          </cell>
          <cell r="I1053" t="str">
            <v>Básico</v>
          </cell>
          <cell r="J1053">
            <v>1587.06</v>
          </cell>
        </row>
        <row r="1054">
          <cell r="A1054" t="str">
            <v>TV SERV ESCOLA 2 13 40H</v>
          </cell>
          <cell r="B1054" t="str">
            <v>TV SERV ESCOLA 2</v>
          </cell>
          <cell r="C1054" t="str">
            <v>Tabela de Valores Servidores de Escola - Aux em Adminst</v>
          </cell>
          <cell r="D1054" t="str">
            <v>40H</v>
          </cell>
          <cell r="E1054">
            <v>41579</v>
          </cell>
          <cell r="G1054" t="str">
            <v>13</v>
          </cell>
          <cell r="H1054" t="str">
            <v>Nivel 1 - Cl E</v>
          </cell>
          <cell r="I1054" t="str">
            <v>Básico</v>
          </cell>
          <cell r="J1054">
            <v>996.38</v>
          </cell>
        </row>
        <row r="1055">
          <cell r="A1055" t="str">
            <v>TV SERV ESCOLA 2 14 40H</v>
          </cell>
          <cell r="B1055" t="str">
            <v>TV SERV ESCOLA 2</v>
          </cell>
          <cell r="C1055" t="str">
            <v>Tabela de Valores Servidores de Escola - Aux em Adminst</v>
          </cell>
          <cell r="D1055" t="str">
            <v>40H</v>
          </cell>
          <cell r="E1055">
            <v>41579</v>
          </cell>
          <cell r="G1055" t="str">
            <v>14</v>
          </cell>
          <cell r="H1055" t="str">
            <v>Nivel 2 - Cl E</v>
          </cell>
          <cell r="I1055" t="str">
            <v>Básico</v>
          </cell>
          <cell r="J1055">
            <v>1164.6</v>
          </cell>
        </row>
        <row r="1056">
          <cell r="A1056" t="str">
            <v>TV SERV ESCOLA 2 15 40H</v>
          </cell>
          <cell r="B1056" t="str">
            <v>TV SERV ESCOLA 2</v>
          </cell>
          <cell r="C1056" t="str">
            <v>Tabela de Valores Servidores de Escola - Aux em Adminst</v>
          </cell>
          <cell r="D1056" t="str">
            <v>40H</v>
          </cell>
          <cell r="E1056">
            <v>41579</v>
          </cell>
          <cell r="G1056" t="str">
            <v>15</v>
          </cell>
          <cell r="H1056" t="str">
            <v>Nivel 3 - Cl E</v>
          </cell>
          <cell r="I1056" t="str">
            <v>Básico</v>
          </cell>
          <cell r="J1056">
            <v>1682.21</v>
          </cell>
        </row>
        <row r="1057">
          <cell r="A1057" t="str">
            <v>TV SERV ESCOLA 2 16 40H</v>
          </cell>
          <cell r="B1057" t="str">
            <v>TV SERV ESCOLA 2</v>
          </cell>
          <cell r="C1057" t="str">
            <v>Tabela de Valores Servidores de Escola - Aux em Adminst</v>
          </cell>
          <cell r="D1057" t="str">
            <v>40H</v>
          </cell>
          <cell r="E1057">
            <v>41579</v>
          </cell>
          <cell r="G1057" t="str">
            <v>16</v>
          </cell>
          <cell r="H1057" t="str">
            <v>Nivel 1 - Cl F</v>
          </cell>
          <cell r="I1057" t="str">
            <v>Básico</v>
          </cell>
          <cell r="J1057">
            <v>1057.63</v>
          </cell>
        </row>
        <row r="1058">
          <cell r="A1058" t="str">
            <v>TV SERV ESCOLA 2 17 40H</v>
          </cell>
          <cell r="B1058" t="str">
            <v>TV SERV ESCOLA 2</v>
          </cell>
          <cell r="C1058" t="str">
            <v>Tabela de Valores Servidores de Escola - Aux em Adminst</v>
          </cell>
          <cell r="D1058" t="str">
            <v>40H</v>
          </cell>
          <cell r="E1058">
            <v>41579</v>
          </cell>
          <cell r="G1058" t="str">
            <v>17</v>
          </cell>
          <cell r="H1058" t="str">
            <v>Nivel 2 - Cl F</v>
          </cell>
          <cell r="I1058" t="str">
            <v>Básico</v>
          </cell>
          <cell r="J1058">
            <v>1236.19</v>
          </cell>
        </row>
        <row r="1059">
          <cell r="A1059" t="str">
            <v>TV SERV ESCOLA 2 18 40H</v>
          </cell>
          <cell r="B1059" t="str">
            <v>TV SERV ESCOLA 2</v>
          </cell>
          <cell r="C1059" t="str">
            <v>Tabela de Valores Servidores de Escola - Aux em Adminst</v>
          </cell>
          <cell r="D1059" t="str">
            <v>40H</v>
          </cell>
          <cell r="E1059">
            <v>41579</v>
          </cell>
          <cell r="G1059" t="str">
            <v>18</v>
          </cell>
          <cell r="H1059" t="str">
            <v>Nivel 3 - Cl F</v>
          </cell>
          <cell r="I1059" t="str">
            <v>Básico</v>
          </cell>
          <cell r="J1059">
            <v>1785.61</v>
          </cell>
        </row>
        <row r="1060">
          <cell r="A1060" t="str">
            <v>TV SERV ESCOLA 3 01 40H</v>
          </cell>
          <cell r="B1060" t="str">
            <v>TV SERV ESCOLA 3</v>
          </cell>
          <cell r="C1060" t="str">
            <v>Tabela de Valores Servidores de Escola - Agente Educ II</v>
          </cell>
          <cell r="D1060" t="str">
            <v>40H</v>
          </cell>
          <cell r="E1060">
            <v>41579</v>
          </cell>
          <cell r="G1060" t="str">
            <v>01</v>
          </cell>
          <cell r="H1060" t="str">
            <v>Nivel 2 - Cl A</v>
          </cell>
          <cell r="I1060" t="str">
            <v>Básico</v>
          </cell>
          <cell r="J1060">
            <v>922.53</v>
          </cell>
        </row>
        <row r="1061">
          <cell r="A1061" t="str">
            <v>TV SERV ESCOLA 3 02 40H</v>
          </cell>
          <cell r="B1061" t="str">
            <v>TV SERV ESCOLA 3</v>
          </cell>
          <cell r="C1061" t="str">
            <v>Tabela de Valores Servidores de Escola - Agente Educ II</v>
          </cell>
          <cell r="D1061" t="str">
            <v>40H</v>
          </cell>
          <cell r="E1061">
            <v>41579</v>
          </cell>
          <cell r="G1061" t="str">
            <v>02</v>
          </cell>
          <cell r="H1061" t="str">
            <v>Nivel 3 - Cl A</v>
          </cell>
          <cell r="I1061" t="str">
            <v>Básico</v>
          </cell>
          <cell r="J1061">
            <v>1332.55</v>
          </cell>
        </row>
        <row r="1062">
          <cell r="A1062" t="str">
            <v>TV SERV ESCOLA 3 03 40H</v>
          </cell>
          <cell r="B1062" t="str">
            <v>TV SERV ESCOLA 3</v>
          </cell>
          <cell r="C1062" t="str">
            <v>Tabela de Valores Servidores de Escola - Agente Educ II</v>
          </cell>
          <cell r="D1062" t="str">
            <v>40H</v>
          </cell>
          <cell r="E1062">
            <v>41579</v>
          </cell>
          <cell r="G1062" t="str">
            <v>03</v>
          </cell>
          <cell r="H1062" t="str">
            <v>Nivel 2 - Cl B</v>
          </cell>
          <cell r="I1062" t="str">
            <v>Básico</v>
          </cell>
          <cell r="J1062">
            <v>977.88</v>
          </cell>
        </row>
        <row r="1063">
          <cell r="A1063" t="str">
            <v>TV SERV ESCOLA 3 04 40H</v>
          </cell>
          <cell r="B1063" t="str">
            <v>TV SERV ESCOLA 3</v>
          </cell>
          <cell r="C1063" t="str">
            <v>Tabela de Valores Servidores de Escola - Agente Educ II</v>
          </cell>
          <cell r="D1063" t="str">
            <v>40H</v>
          </cell>
          <cell r="E1063">
            <v>41579</v>
          </cell>
          <cell r="G1063" t="str">
            <v>04</v>
          </cell>
          <cell r="H1063" t="str">
            <v>Nivel 3 - Cl B</v>
          </cell>
          <cell r="I1063" t="str">
            <v>Básico</v>
          </cell>
          <cell r="J1063">
            <v>1412.5</v>
          </cell>
        </row>
        <row r="1064">
          <cell r="A1064" t="str">
            <v>TV SERV ESCOLA 3 05 40H</v>
          </cell>
          <cell r="B1064" t="str">
            <v>TV SERV ESCOLA 3</v>
          </cell>
          <cell r="C1064" t="str">
            <v>Tabela de Valores Servidores de Escola - Agente Educ II</v>
          </cell>
          <cell r="D1064" t="str">
            <v>40H</v>
          </cell>
          <cell r="E1064">
            <v>41579</v>
          </cell>
          <cell r="G1064" t="str">
            <v>05</v>
          </cell>
          <cell r="H1064" t="str">
            <v>Nivel 2 - Cl C</v>
          </cell>
          <cell r="I1064" t="str">
            <v>Básico</v>
          </cell>
          <cell r="J1064">
            <v>1036.56</v>
          </cell>
        </row>
        <row r="1065">
          <cell r="A1065" t="str">
            <v>TV SERV ESCOLA 3 06 40H</v>
          </cell>
          <cell r="B1065" t="str">
            <v>TV SERV ESCOLA 3</v>
          </cell>
          <cell r="C1065" t="str">
            <v>Tabela de Valores Servidores de Escola - Agente Educ II</v>
          </cell>
          <cell r="D1065" t="str">
            <v>40H</v>
          </cell>
          <cell r="E1065">
            <v>41579</v>
          </cell>
          <cell r="G1065" t="str">
            <v>06</v>
          </cell>
          <cell r="H1065" t="str">
            <v>Nivel 3 - Cl C</v>
          </cell>
          <cell r="I1065" t="str">
            <v>Básico</v>
          </cell>
          <cell r="J1065">
            <v>1497.25</v>
          </cell>
        </row>
        <row r="1066">
          <cell r="A1066" t="str">
            <v>TV SERV ESCOLA 3 07 40H</v>
          </cell>
          <cell r="B1066" t="str">
            <v>TV SERV ESCOLA 3</v>
          </cell>
          <cell r="C1066" t="str">
            <v>Tabela de Valores Servidores de Escola - Agente Educ II</v>
          </cell>
          <cell r="D1066" t="str">
            <v>40H</v>
          </cell>
          <cell r="E1066">
            <v>41579</v>
          </cell>
          <cell r="G1066" t="str">
            <v>07</v>
          </cell>
          <cell r="H1066" t="str">
            <v>Nivel 2 - Cl D</v>
          </cell>
          <cell r="I1066" t="str">
            <v>Básico</v>
          </cell>
          <cell r="J1066">
            <v>1098.74</v>
          </cell>
        </row>
        <row r="1067">
          <cell r="A1067" t="str">
            <v>TV SERV ESCOLA 3 08 40H</v>
          </cell>
          <cell r="B1067" t="str">
            <v>TV SERV ESCOLA 3</v>
          </cell>
          <cell r="C1067" t="str">
            <v>Tabela de Valores Servidores de Escola - Agente Educ II</v>
          </cell>
          <cell r="D1067" t="str">
            <v>40H</v>
          </cell>
          <cell r="E1067">
            <v>41579</v>
          </cell>
          <cell r="G1067" t="str">
            <v>08</v>
          </cell>
          <cell r="H1067" t="str">
            <v>Nivel 3 - Cl D</v>
          </cell>
          <cell r="I1067" t="str">
            <v>Básico</v>
          </cell>
          <cell r="J1067">
            <v>1587.06</v>
          </cell>
        </row>
        <row r="1068">
          <cell r="A1068" t="str">
            <v>TV SERV ESCOLA 3 09 40H</v>
          </cell>
          <cell r="B1068" t="str">
            <v>TV SERV ESCOLA 3</v>
          </cell>
          <cell r="C1068" t="str">
            <v>Tabela de Valores Servidores de Escola - Agente Educ II</v>
          </cell>
          <cell r="D1068" t="str">
            <v>40H</v>
          </cell>
          <cell r="E1068">
            <v>41579</v>
          </cell>
          <cell r="G1068" t="str">
            <v>09</v>
          </cell>
          <cell r="H1068" t="str">
            <v>Nivel 2 - Cl E</v>
          </cell>
          <cell r="I1068" t="str">
            <v>Básico</v>
          </cell>
          <cell r="J1068">
            <v>1164.6</v>
          </cell>
        </row>
        <row r="1069">
          <cell r="A1069" t="str">
            <v>TV SERV ESCOLA 3 10 40H</v>
          </cell>
          <cell r="B1069" t="str">
            <v>TV SERV ESCOLA 3</v>
          </cell>
          <cell r="C1069" t="str">
            <v>Tabela de Valores Servidores de Escola - Agente Educ II</v>
          </cell>
          <cell r="D1069" t="str">
            <v>40H</v>
          </cell>
          <cell r="E1069">
            <v>41579</v>
          </cell>
          <cell r="G1069" t="str">
            <v>10</v>
          </cell>
          <cell r="H1069" t="str">
            <v>Nivel 3 - Cl E</v>
          </cell>
          <cell r="I1069" t="str">
            <v>Básico</v>
          </cell>
          <cell r="J1069">
            <v>1682.21</v>
          </cell>
        </row>
        <row r="1070">
          <cell r="A1070" t="str">
            <v>TV SERV ESCOLA 3 11 40H</v>
          </cell>
          <cell r="B1070" t="str">
            <v>TV SERV ESCOLA 3</v>
          </cell>
          <cell r="C1070" t="str">
            <v>Tabela de Valores Servidores de Escola - Agente Educ II</v>
          </cell>
          <cell r="D1070" t="str">
            <v>40H</v>
          </cell>
          <cell r="E1070">
            <v>41579</v>
          </cell>
          <cell r="G1070" t="str">
            <v>11</v>
          </cell>
          <cell r="H1070" t="str">
            <v>Nivel 2 - Cl F</v>
          </cell>
          <cell r="I1070" t="str">
            <v>Básico</v>
          </cell>
          <cell r="J1070">
            <v>1236.19</v>
          </cell>
        </row>
        <row r="1071">
          <cell r="A1071" t="str">
            <v>TV SERV ESCOLA 3 12 40H</v>
          </cell>
          <cell r="B1071" t="str">
            <v>TV SERV ESCOLA 3</v>
          </cell>
          <cell r="C1071" t="str">
            <v>Tabela de Valores Servidores de Escola - Agente Educ II</v>
          </cell>
          <cell r="D1071" t="str">
            <v>40H</v>
          </cell>
          <cell r="E1071">
            <v>41579</v>
          </cell>
          <cell r="G1071" t="str">
            <v>12</v>
          </cell>
          <cell r="H1071" t="str">
            <v>Nivel 3 - Cl F</v>
          </cell>
          <cell r="I1071" t="str">
            <v>Básico</v>
          </cell>
          <cell r="J1071">
            <v>1785.61</v>
          </cell>
        </row>
        <row r="1072">
          <cell r="A1072" t="str">
            <v>TV SUSEPE 01 40H</v>
          </cell>
          <cell r="B1072" t="str">
            <v>TV SUSEPE</v>
          </cell>
          <cell r="C1072" t="str">
            <v>Tabela de Valores Servidores Penitenciarios</v>
          </cell>
          <cell r="D1072" t="str">
            <v>40H</v>
          </cell>
          <cell r="E1072">
            <v>41579</v>
          </cell>
          <cell r="G1072" t="str">
            <v>01</v>
          </cell>
          <cell r="H1072" t="str">
            <v>Ag Pen - Cl A</v>
          </cell>
          <cell r="I1072" t="str">
            <v>Básico</v>
          </cell>
          <cell r="J1072">
            <v>727.17</v>
          </cell>
          <cell r="K1072" t="str">
            <v>% Risco Vida</v>
          </cell>
          <cell r="L1072">
            <v>222</v>
          </cell>
          <cell r="M1072" t="str">
            <v>Pd Inerente</v>
          </cell>
          <cell r="O1072" t="str">
            <v>Subsídio</v>
          </cell>
        </row>
        <row r="1073">
          <cell r="A1073" t="str">
            <v>TV SUSEPE 02 40H</v>
          </cell>
          <cell r="B1073" t="str">
            <v>TV SUSEPE</v>
          </cell>
          <cell r="C1073" t="str">
            <v>Tabela de Valores Servidores Penitenciarios</v>
          </cell>
          <cell r="D1073" t="str">
            <v>40H</v>
          </cell>
          <cell r="E1073">
            <v>41579</v>
          </cell>
          <cell r="G1073" t="str">
            <v>02</v>
          </cell>
          <cell r="H1073" t="str">
            <v>Ag Pen - Cl B</v>
          </cell>
          <cell r="I1073" t="str">
            <v>Básico</v>
          </cell>
          <cell r="J1073">
            <v>787.78</v>
          </cell>
          <cell r="K1073" t="str">
            <v>% Risco Vida</v>
          </cell>
          <cell r="L1073">
            <v>222</v>
          </cell>
          <cell r="M1073" t="str">
            <v>Pd Inerente</v>
          </cell>
          <cell r="O1073" t="str">
            <v>Subsídio</v>
          </cell>
        </row>
        <row r="1074">
          <cell r="A1074" t="str">
            <v>TV SUSEPE 03 40H</v>
          </cell>
          <cell r="B1074" t="str">
            <v>TV SUSEPE</v>
          </cell>
          <cell r="C1074" t="str">
            <v>Tabela de Valores Servidores Penitenciarios</v>
          </cell>
          <cell r="D1074" t="str">
            <v>40H</v>
          </cell>
          <cell r="E1074">
            <v>41579</v>
          </cell>
          <cell r="G1074" t="str">
            <v>03</v>
          </cell>
          <cell r="H1074" t="str">
            <v>Ag Pen - Cl C</v>
          </cell>
          <cell r="I1074" t="str">
            <v>Básico</v>
          </cell>
          <cell r="J1074">
            <v>848.39</v>
          </cell>
          <cell r="K1074" t="str">
            <v>% Risco Vida</v>
          </cell>
          <cell r="L1074">
            <v>222</v>
          </cell>
          <cell r="M1074" t="str">
            <v>Pd Inerente</v>
          </cell>
          <cell r="O1074" t="str">
            <v>Subsídio</v>
          </cell>
        </row>
        <row r="1075">
          <cell r="A1075" t="str">
            <v>TV SUSEPE 04 40H</v>
          </cell>
          <cell r="B1075" t="str">
            <v>TV SUSEPE</v>
          </cell>
          <cell r="C1075" t="str">
            <v>Tabela de Valores Servidores Penitenciarios</v>
          </cell>
          <cell r="D1075" t="str">
            <v>40H</v>
          </cell>
          <cell r="E1075">
            <v>41579</v>
          </cell>
          <cell r="G1075" t="str">
            <v>04</v>
          </cell>
          <cell r="H1075" t="str">
            <v>Ag Pen - Cl D</v>
          </cell>
          <cell r="I1075" t="str">
            <v>Básico</v>
          </cell>
          <cell r="J1075">
            <v>909.05</v>
          </cell>
          <cell r="K1075" t="str">
            <v>% Risco Vida</v>
          </cell>
          <cell r="L1075">
            <v>222</v>
          </cell>
          <cell r="M1075" t="str">
            <v>Pd Inerente</v>
          </cell>
          <cell r="O1075" t="str">
            <v>Subsídio</v>
          </cell>
        </row>
        <row r="1076">
          <cell r="A1076" t="str">
            <v>TV SUSEPE 05 40H</v>
          </cell>
          <cell r="B1076" t="str">
            <v>TV SUSEPE</v>
          </cell>
          <cell r="C1076" t="str">
            <v>Tabela de Valores Servidores Penitenciarios</v>
          </cell>
          <cell r="D1076" t="str">
            <v>40H</v>
          </cell>
          <cell r="E1076">
            <v>41579</v>
          </cell>
          <cell r="G1076" t="str">
            <v>05</v>
          </cell>
          <cell r="H1076" t="str">
            <v>Mon Pen - Cl A</v>
          </cell>
          <cell r="I1076" t="str">
            <v>Básico</v>
          </cell>
          <cell r="J1076">
            <v>989.53</v>
          </cell>
          <cell r="K1076" t="str">
            <v>% Risco Vida</v>
          </cell>
          <cell r="L1076">
            <v>222</v>
          </cell>
          <cell r="M1076" t="str">
            <v>Pd Inerente</v>
          </cell>
          <cell r="O1076" t="str">
            <v>Subsídio</v>
          </cell>
          <cell r="P1076">
            <v>4602.06</v>
          </cell>
        </row>
        <row r="1077">
          <cell r="A1077" t="str">
            <v>TV SUSEPE 06 40H</v>
          </cell>
          <cell r="B1077" t="str">
            <v>TV SUSEPE</v>
          </cell>
          <cell r="C1077" t="str">
            <v>Tabela de Valores Servidores Penitenciarios</v>
          </cell>
          <cell r="D1077" t="str">
            <v>40H</v>
          </cell>
          <cell r="E1077">
            <v>41579</v>
          </cell>
          <cell r="G1077" t="str">
            <v>06</v>
          </cell>
          <cell r="H1077" t="str">
            <v>Mon Pen - Cl B</v>
          </cell>
          <cell r="I1077" t="str">
            <v>Básico</v>
          </cell>
          <cell r="J1077">
            <v>1070.6</v>
          </cell>
          <cell r="K1077" t="str">
            <v>% Risco Vida</v>
          </cell>
          <cell r="L1077">
            <v>222</v>
          </cell>
          <cell r="M1077" t="str">
            <v>Pd Inerente</v>
          </cell>
          <cell r="O1077" t="str">
            <v>Subsídio</v>
          </cell>
          <cell r="P1077">
            <v>4896.91</v>
          </cell>
        </row>
        <row r="1078">
          <cell r="A1078" t="str">
            <v>TV SUSEPE 07 40H</v>
          </cell>
          <cell r="B1078" t="str">
            <v>TV SUSEPE</v>
          </cell>
          <cell r="C1078" t="str">
            <v>Tabela de Valores Servidores Penitenciarios</v>
          </cell>
          <cell r="D1078" t="str">
            <v>40H</v>
          </cell>
          <cell r="E1078">
            <v>41579</v>
          </cell>
          <cell r="G1078" t="str">
            <v>07</v>
          </cell>
          <cell r="H1078" t="str">
            <v>Mon Pen - Cl C</v>
          </cell>
          <cell r="I1078" t="str">
            <v>Básico</v>
          </cell>
          <cell r="J1078">
            <v>1137.22</v>
          </cell>
          <cell r="K1078" t="str">
            <v>% Risco Vida</v>
          </cell>
          <cell r="L1078">
            <v>222</v>
          </cell>
          <cell r="M1078" t="str">
            <v>Pd Inerente</v>
          </cell>
          <cell r="N1078">
            <v>4</v>
          </cell>
          <cell r="O1078" t="str">
            <v>Subsídio</v>
          </cell>
          <cell r="P1078">
            <v>5721.06</v>
          </cell>
        </row>
        <row r="1079">
          <cell r="A1079" t="str">
            <v>TV SUSEPE 08 40H</v>
          </cell>
          <cell r="B1079" t="str">
            <v>TV SUSEPE</v>
          </cell>
          <cell r="C1079" t="str">
            <v>Tabela de Valores Servidores Penitenciarios</v>
          </cell>
          <cell r="D1079" t="str">
            <v>40H</v>
          </cell>
          <cell r="E1079">
            <v>41579</v>
          </cell>
          <cell r="G1079" t="str">
            <v>08</v>
          </cell>
          <cell r="H1079" t="str">
            <v>Mon Pen - Cl D</v>
          </cell>
          <cell r="I1079" t="str">
            <v>Básico</v>
          </cell>
          <cell r="J1079">
            <v>1215.99</v>
          </cell>
          <cell r="K1079" t="str">
            <v>% Risco Vida</v>
          </cell>
          <cell r="L1079">
            <v>222</v>
          </cell>
          <cell r="M1079" t="str">
            <v>Pd Inerente</v>
          </cell>
          <cell r="N1079">
            <v>5</v>
          </cell>
          <cell r="O1079" t="str">
            <v>Subsídio</v>
          </cell>
          <cell r="P1079">
            <v>6762.6</v>
          </cell>
        </row>
        <row r="1080">
          <cell r="A1080" t="str">
            <v>TV SUSEPE 09 40H</v>
          </cell>
          <cell r="B1080" t="str">
            <v>TV SUSEPE</v>
          </cell>
          <cell r="C1080" t="str">
            <v>Tabela de Valores Servidores Penitenciarios</v>
          </cell>
          <cell r="D1080" t="str">
            <v>40H</v>
          </cell>
          <cell r="E1080">
            <v>41579</v>
          </cell>
          <cell r="G1080" t="str">
            <v>09</v>
          </cell>
          <cell r="H1080" t="str">
            <v>Mon Pen - Cl E</v>
          </cell>
          <cell r="I1080" t="str">
            <v>Básico</v>
          </cell>
          <cell r="J1080">
            <v>1315.96</v>
          </cell>
          <cell r="K1080" t="str">
            <v>% Risco Vida</v>
          </cell>
          <cell r="L1080">
            <v>222</v>
          </cell>
          <cell r="M1080" t="str">
            <v>Pd Inerente</v>
          </cell>
          <cell r="O1080" t="str">
            <v>Subsídio</v>
          </cell>
          <cell r="P1080">
            <v>9436.98</v>
          </cell>
        </row>
        <row r="1081">
          <cell r="A1081" t="str">
            <v>TV SUSEPE 10 40H</v>
          </cell>
          <cell r="B1081" t="str">
            <v>TV SUSEPE</v>
          </cell>
          <cell r="C1081" t="str">
            <v>Tabela de Valores Servidores Penitenciarios</v>
          </cell>
          <cell r="D1081" t="str">
            <v>40H</v>
          </cell>
          <cell r="E1081">
            <v>41579</v>
          </cell>
          <cell r="G1081" t="str">
            <v>10</v>
          </cell>
          <cell r="H1081" t="str">
            <v>Tec Pen</v>
          </cell>
          <cell r="I1081" t="str">
            <v>Básico</v>
          </cell>
          <cell r="J1081">
            <v>938.94</v>
          </cell>
          <cell r="K1081" t="str">
            <v>% Risco Vida</v>
          </cell>
          <cell r="L1081">
            <v>222</v>
          </cell>
          <cell r="M1081" t="str">
            <v>Pd Inerente</v>
          </cell>
          <cell r="O1081" t="str">
            <v>Subsídio</v>
          </cell>
        </row>
        <row r="1082">
          <cell r="A1082" t="str">
            <v>TV SUSEPE 11 40H</v>
          </cell>
          <cell r="B1082" t="str">
            <v>TV SUSEPE</v>
          </cell>
          <cell r="C1082" t="str">
            <v>Tabela de Valores Servidores Penitenciarios</v>
          </cell>
          <cell r="D1082" t="str">
            <v>40H</v>
          </cell>
          <cell r="E1082">
            <v>41579</v>
          </cell>
          <cell r="G1082" t="str">
            <v>11</v>
          </cell>
          <cell r="H1082" t="str">
            <v>Aux Serv Pen - Cl A</v>
          </cell>
          <cell r="I1082" t="str">
            <v>Básico</v>
          </cell>
          <cell r="J1082">
            <v>543.14</v>
          </cell>
          <cell r="K1082" t="str">
            <v>% Risco Vida</v>
          </cell>
          <cell r="L1082">
            <v>222</v>
          </cell>
          <cell r="M1082" t="str">
            <v>Pd Inerente</v>
          </cell>
          <cell r="O1082" t="str">
            <v>Subsídio</v>
          </cell>
        </row>
        <row r="1083">
          <cell r="A1083" t="str">
            <v>TV SUSEPE 12 40H</v>
          </cell>
          <cell r="B1083" t="str">
            <v>TV SUSEPE</v>
          </cell>
          <cell r="C1083" t="str">
            <v>Tabela de Valores Servidores Penitenciarios</v>
          </cell>
          <cell r="D1083" t="str">
            <v>40H</v>
          </cell>
          <cell r="E1083">
            <v>41579</v>
          </cell>
          <cell r="G1083" t="str">
            <v>12</v>
          </cell>
          <cell r="H1083" t="str">
            <v>Aux Serv Pen - Cl B</v>
          </cell>
          <cell r="I1083" t="str">
            <v>Básico</v>
          </cell>
          <cell r="J1083">
            <v>594.06</v>
          </cell>
          <cell r="K1083" t="str">
            <v>% Risco Vida</v>
          </cell>
          <cell r="L1083">
            <v>222</v>
          </cell>
          <cell r="M1083" t="str">
            <v>Pd Inerente</v>
          </cell>
          <cell r="O1083" t="str">
            <v>Subsídio</v>
          </cell>
        </row>
        <row r="1084">
          <cell r="A1084" t="str">
            <v>TV SUSEPE 13 40H</v>
          </cell>
          <cell r="B1084" t="str">
            <v>TV SUSEPE</v>
          </cell>
          <cell r="C1084" t="str">
            <v>Tabela de Valores Servidores Penitenciarios</v>
          </cell>
          <cell r="D1084" t="str">
            <v>40H</v>
          </cell>
          <cell r="E1084">
            <v>41579</v>
          </cell>
          <cell r="G1084" t="str">
            <v>13</v>
          </cell>
          <cell r="H1084" t="str">
            <v>Aux Serv Pen - Cl C</v>
          </cell>
          <cell r="I1084" t="str">
            <v>Básico</v>
          </cell>
          <cell r="J1084">
            <v>644.82</v>
          </cell>
          <cell r="K1084" t="str">
            <v>% Risco Vida</v>
          </cell>
          <cell r="L1084">
            <v>222</v>
          </cell>
          <cell r="M1084" t="str">
            <v>Pd Inerente</v>
          </cell>
          <cell r="O1084" t="str">
            <v>Subsídio</v>
          </cell>
        </row>
        <row r="1085">
          <cell r="A1085" t="str">
            <v>TV SUSEPE 14 40H</v>
          </cell>
          <cell r="B1085" t="str">
            <v>TV SUSEPE</v>
          </cell>
          <cell r="C1085" t="str">
            <v>Tabela de Valores Servidores Penitenciarios</v>
          </cell>
          <cell r="D1085" t="str">
            <v>40H</v>
          </cell>
          <cell r="E1085">
            <v>41579</v>
          </cell>
          <cell r="G1085" t="str">
            <v>14</v>
          </cell>
          <cell r="H1085" t="str">
            <v>Aux Serv Pen - Cl D</v>
          </cell>
          <cell r="I1085" t="str">
            <v>Básico</v>
          </cell>
          <cell r="J1085">
            <v>695.57</v>
          </cell>
          <cell r="K1085" t="str">
            <v>% Risco Vida</v>
          </cell>
          <cell r="L1085">
            <v>222</v>
          </cell>
          <cell r="M1085" t="str">
            <v>Pd Inerente</v>
          </cell>
          <cell r="O1085" t="str">
            <v>Subsídio</v>
          </cell>
        </row>
        <row r="1086">
          <cell r="A1086" t="str">
            <v>TV SUSEPE 15 40H</v>
          </cell>
          <cell r="B1086" t="str">
            <v>TV SUSEPE</v>
          </cell>
          <cell r="C1086" t="str">
            <v>Tabela de Valores Servidores Penitenciarios</v>
          </cell>
          <cell r="D1086" t="str">
            <v>40H</v>
          </cell>
          <cell r="E1086">
            <v>41579</v>
          </cell>
          <cell r="G1086" t="str">
            <v>15</v>
          </cell>
          <cell r="H1086" t="str">
            <v>Crim - Cl A</v>
          </cell>
          <cell r="I1086" t="str">
            <v>Básico</v>
          </cell>
          <cell r="J1086">
            <v>642.68</v>
          </cell>
          <cell r="K1086" t="str">
            <v>% Risco Vida</v>
          </cell>
          <cell r="L1086">
            <v>100</v>
          </cell>
          <cell r="M1086" t="str">
            <v>Pd Inerente</v>
          </cell>
          <cell r="O1086" t="str">
            <v>Subsídio</v>
          </cell>
        </row>
        <row r="1087">
          <cell r="A1087" t="str">
            <v>TV SUSEPE 16 40H</v>
          </cell>
          <cell r="B1087" t="str">
            <v>TV SUSEPE</v>
          </cell>
          <cell r="C1087" t="str">
            <v>Tabela de Valores Servidores Penitenciarios</v>
          </cell>
          <cell r="D1087" t="str">
            <v>40H</v>
          </cell>
          <cell r="E1087">
            <v>41579</v>
          </cell>
          <cell r="G1087" t="str">
            <v>16</v>
          </cell>
          <cell r="H1087" t="str">
            <v>Crim - Cl B</v>
          </cell>
          <cell r="I1087" t="str">
            <v>Básico</v>
          </cell>
          <cell r="J1087">
            <v>680.41</v>
          </cell>
          <cell r="K1087" t="str">
            <v>% Risco Vida</v>
          </cell>
          <cell r="L1087">
            <v>100</v>
          </cell>
          <cell r="M1087" t="str">
            <v>Pd Inerente</v>
          </cell>
          <cell r="O1087" t="str">
            <v>Subsídio</v>
          </cell>
        </row>
        <row r="1088">
          <cell r="A1088" t="str">
            <v>TV SUSEPE 17 40H</v>
          </cell>
          <cell r="B1088" t="str">
            <v>TV SUSEPE</v>
          </cell>
          <cell r="C1088" t="str">
            <v>Tabela de Valores Servidores Penitenciarios</v>
          </cell>
          <cell r="D1088" t="str">
            <v>40H</v>
          </cell>
          <cell r="E1088">
            <v>41579</v>
          </cell>
          <cell r="G1088" t="str">
            <v>17</v>
          </cell>
          <cell r="H1088" t="str">
            <v>Crim - Cl C</v>
          </cell>
          <cell r="I1088" t="str">
            <v>Básico</v>
          </cell>
          <cell r="J1088">
            <v>718.26</v>
          </cell>
          <cell r="K1088" t="str">
            <v>% Risco Vida</v>
          </cell>
          <cell r="L1088">
            <v>100</v>
          </cell>
          <cell r="M1088" t="str">
            <v>Pd Inerente</v>
          </cell>
          <cell r="O1088" t="str">
            <v>Subsídio</v>
          </cell>
        </row>
        <row r="1089">
          <cell r="A1089" t="str">
            <v>TV SUSEPE 18 40H</v>
          </cell>
          <cell r="B1089" t="str">
            <v>TV SUSEPE</v>
          </cell>
          <cell r="C1089" t="str">
            <v>Tabela de Valores Servidores Penitenciarios</v>
          </cell>
          <cell r="D1089" t="str">
            <v>40H</v>
          </cell>
          <cell r="E1089">
            <v>41579</v>
          </cell>
          <cell r="G1089" t="str">
            <v>18</v>
          </cell>
          <cell r="H1089" t="str">
            <v>Crim - Cl D</v>
          </cell>
          <cell r="I1089" t="str">
            <v>Básico</v>
          </cell>
          <cell r="J1089">
            <v>756.1</v>
          </cell>
          <cell r="K1089" t="str">
            <v>% Risco Vida</v>
          </cell>
          <cell r="L1089">
            <v>100</v>
          </cell>
          <cell r="M1089" t="str">
            <v>Pd Inerente</v>
          </cell>
          <cell r="O1089" t="str">
            <v>Subsídio</v>
          </cell>
        </row>
        <row r="1090">
          <cell r="A1090" t="str">
            <v>TV SUSEPE 21 40H</v>
          </cell>
          <cell r="B1090" t="str">
            <v>TV SUSEPE</v>
          </cell>
          <cell r="C1090" t="str">
            <v>Tabela de Valores Servidores Penitenciarios</v>
          </cell>
          <cell r="D1090" t="str">
            <v>40H</v>
          </cell>
          <cell r="E1090">
            <v>41579</v>
          </cell>
          <cell r="G1090" t="str">
            <v>21</v>
          </cell>
          <cell r="H1090" t="str">
            <v>Ag Pen Adm - Gr A</v>
          </cell>
          <cell r="I1090" t="str">
            <v>Básico</v>
          </cell>
          <cell r="J1090">
            <v>543.14</v>
          </cell>
          <cell r="K1090" t="str">
            <v>% Risco Vida</v>
          </cell>
          <cell r="L1090">
            <v>222</v>
          </cell>
          <cell r="M1090" t="str">
            <v>Pd Inerente</v>
          </cell>
          <cell r="O1090" t="str">
            <v>Subsídio</v>
          </cell>
          <cell r="P1090">
            <v>2372.8</v>
          </cell>
        </row>
        <row r="1091">
          <cell r="A1091" t="str">
            <v>TV SUSEPE 22 40H</v>
          </cell>
          <cell r="B1091" t="str">
            <v>TV SUSEPE</v>
          </cell>
          <cell r="C1091" t="str">
            <v>Tabela de Valores Servidores Penitenciarios</v>
          </cell>
          <cell r="D1091" t="str">
            <v>40H</v>
          </cell>
          <cell r="E1091">
            <v>41579</v>
          </cell>
          <cell r="G1091" t="str">
            <v>22</v>
          </cell>
          <cell r="H1091" t="str">
            <v>Ag Pen Adm - Gr B</v>
          </cell>
          <cell r="I1091" t="str">
            <v>Básico</v>
          </cell>
          <cell r="J1091">
            <v>594.06</v>
          </cell>
          <cell r="K1091" t="str">
            <v>% Risco Vida</v>
          </cell>
          <cell r="L1091">
            <v>222</v>
          </cell>
          <cell r="M1091" t="str">
            <v>Pd Inerente</v>
          </cell>
          <cell r="O1091" t="str">
            <v>Subsídio</v>
          </cell>
          <cell r="P1091">
            <v>2666.6</v>
          </cell>
        </row>
        <row r="1092">
          <cell r="A1092" t="str">
            <v>TV SUSEPE 23 40H</v>
          </cell>
          <cell r="B1092" t="str">
            <v>TV SUSEPE</v>
          </cell>
          <cell r="C1092" t="str">
            <v>Tabela de Valores Servidores Penitenciarios</v>
          </cell>
          <cell r="D1092" t="str">
            <v>40H</v>
          </cell>
          <cell r="E1092">
            <v>41579</v>
          </cell>
          <cell r="G1092" t="str">
            <v>23</v>
          </cell>
          <cell r="H1092" t="str">
            <v>Ag Pen Adm - Gr C</v>
          </cell>
          <cell r="I1092" t="str">
            <v>Básico</v>
          </cell>
          <cell r="J1092">
            <v>644.82</v>
          </cell>
          <cell r="K1092" t="str">
            <v>% Risco Vida</v>
          </cell>
          <cell r="L1092">
            <v>222</v>
          </cell>
          <cell r="M1092" t="str">
            <v>Pd Inerente</v>
          </cell>
          <cell r="O1092" t="str">
            <v>Subsídio</v>
          </cell>
          <cell r="P1092">
            <v>3036.93</v>
          </cell>
        </row>
        <row r="1093">
          <cell r="A1093" t="str">
            <v>TV SUSEPE 24 40H</v>
          </cell>
          <cell r="B1093" t="str">
            <v>TV SUSEPE</v>
          </cell>
          <cell r="C1093" t="str">
            <v>Tabela de Valores Servidores Penitenciarios</v>
          </cell>
          <cell r="D1093" t="str">
            <v>40H</v>
          </cell>
          <cell r="E1093">
            <v>41579</v>
          </cell>
          <cell r="G1093" t="str">
            <v>24</v>
          </cell>
          <cell r="H1093" t="str">
            <v>Ag Pen Adm - Gr D</v>
          </cell>
          <cell r="I1093" t="str">
            <v>Básico</v>
          </cell>
          <cell r="J1093">
            <v>695.57</v>
          </cell>
          <cell r="K1093" t="str">
            <v>% Risco Vida</v>
          </cell>
          <cell r="L1093">
            <v>222</v>
          </cell>
          <cell r="M1093" t="str">
            <v>Pd Inerente</v>
          </cell>
          <cell r="O1093" t="str">
            <v>Subsídio</v>
          </cell>
          <cell r="P1093">
            <v>3853.63</v>
          </cell>
        </row>
        <row r="1094">
          <cell r="A1094" t="str">
            <v>TV SUSEPE 25 40H</v>
          </cell>
          <cell r="B1094" t="str">
            <v>TV SUSEPE</v>
          </cell>
          <cell r="C1094" t="str">
            <v>Tabela de Valores Servidores Penitenciarios</v>
          </cell>
          <cell r="D1094" t="str">
            <v>40H</v>
          </cell>
          <cell r="E1094">
            <v>41579</v>
          </cell>
          <cell r="G1094" t="str">
            <v>25</v>
          </cell>
          <cell r="H1094" t="str">
            <v>Ag Pen Adm - Gr E</v>
          </cell>
          <cell r="I1094" t="str">
            <v>Básico</v>
          </cell>
          <cell r="J1094">
            <v>750.05</v>
          </cell>
          <cell r="K1094" t="str">
            <v>% Risco Vida</v>
          </cell>
          <cell r="L1094">
            <v>222</v>
          </cell>
          <cell r="M1094" t="str">
            <v>Pd Inerente</v>
          </cell>
          <cell r="O1094" t="str">
            <v>Subsídio</v>
          </cell>
          <cell r="P1094">
            <v>4368.3</v>
          </cell>
        </row>
        <row r="1095">
          <cell r="A1095" t="str">
            <v>TV SUSEPE 26 40H</v>
          </cell>
          <cell r="B1095" t="str">
            <v>TV SUSEPE</v>
          </cell>
          <cell r="C1095" t="str">
            <v>Tabela de Valores Servidores Penitenciarios</v>
          </cell>
          <cell r="D1095" t="str">
            <v>40H</v>
          </cell>
          <cell r="E1095">
            <v>41579</v>
          </cell>
          <cell r="G1095" t="str">
            <v>26</v>
          </cell>
          <cell r="H1095" t="str">
            <v>Ag Pen - Gr A</v>
          </cell>
          <cell r="I1095" t="str">
            <v>Básico</v>
          </cell>
          <cell r="J1095">
            <v>727.17</v>
          </cell>
          <cell r="K1095" t="str">
            <v>% Risco Vida</v>
          </cell>
          <cell r="L1095">
            <v>222</v>
          </cell>
          <cell r="M1095" t="str">
            <v>Pd Inerente</v>
          </cell>
          <cell r="O1095" t="str">
            <v>Subsídio</v>
          </cell>
          <cell r="P1095">
            <v>2975.84</v>
          </cell>
        </row>
        <row r="1096">
          <cell r="A1096" t="str">
            <v>TV SUSEPE 27 40H</v>
          </cell>
          <cell r="B1096" t="str">
            <v>TV SUSEPE</v>
          </cell>
          <cell r="C1096" t="str">
            <v>Tabela de Valores Servidores Penitenciarios</v>
          </cell>
          <cell r="D1096" t="str">
            <v>40H</v>
          </cell>
          <cell r="E1096">
            <v>41579</v>
          </cell>
          <cell r="G1096" t="str">
            <v>27</v>
          </cell>
          <cell r="H1096" t="str">
            <v>Ag Pen - Gr B</v>
          </cell>
          <cell r="I1096" t="str">
            <v>Básico</v>
          </cell>
          <cell r="J1096">
            <v>787.78</v>
          </cell>
          <cell r="K1096" t="str">
            <v>% Risco Vida</v>
          </cell>
          <cell r="L1096">
            <v>222</v>
          </cell>
          <cell r="M1096" t="str">
            <v>Pd Inerente</v>
          </cell>
          <cell r="O1096" t="str">
            <v>Subsídio</v>
          </cell>
          <cell r="P1096">
            <v>4178.54</v>
          </cell>
        </row>
        <row r="1097">
          <cell r="A1097" t="str">
            <v>TV SUSEPE 28 40H</v>
          </cell>
          <cell r="B1097" t="str">
            <v>TV SUSEPE</v>
          </cell>
          <cell r="C1097" t="str">
            <v>Tabela de Valores Servidores Penitenciarios</v>
          </cell>
          <cell r="D1097" t="str">
            <v>40H</v>
          </cell>
          <cell r="E1097">
            <v>41579</v>
          </cell>
          <cell r="G1097" t="str">
            <v>28</v>
          </cell>
          <cell r="H1097" t="str">
            <v>Ag Pen - Gr C</v>
          </cell>
          <cell r="I1097" t="str">
            <v>Básico</v>
          </cell>
          <cell r="J1097">
            <v>848.39</v>
          </cell>
          <cell r="K1097" t="str">
            <v>% Risco Vida</v>
          </cell>
          <cell r="L1097">
            <v>222</v>
          </cell>
          <cell r="M1097" t="str">
            <v>Pd Inerente</v>
          </cell>
          <cell r="O1097" t="str">
            <v>Subsídio</v>
          </cell>
          <cell r="P1097">
            <v>5485.65</v>
          </cell>
        </row>
        <row r="1098">
          <cell r="A1098" t="str">
            <v>TV SUSEPE 29 40H</v>
          </cell>
          <cell r="B1098" t="str">
            <v>TV SUSEPE</v>
          </cell>
          <cell r="C1098" t="str">
            <v>Tabela de Valores Servidores Penitenciarios</v>
          </cell>
          <cell r="D1098" t="str">
            <v>40H</v>
          </cell>
          <cell r="E1098">
            <v>41579</v>
          </cell>
          <cell r="G1098" t="str">
            <v>29</v>
          </cell>
          <cell r="H1098" t="str">
            <v>Ag Pen - Gr D</v>
          </cell>
          <cell r="I1098" t="str">
            <v>Básico</v>
          </cell>
          <cell r="J1098">
            <v>909.05</v>
          </cell>
          <cell r="K1098" t="str">
            <v>% Risco Vida</v>
          </cell>
          <cell r="L1098">
            <v>222</v>
          </cell>
          <cell r="M1098" t="str">
            <v>Pd Inerente</v>
          </cell>
          <cell r="O1098" t="str">
            <v>Subsídio</v>
          </cell>
          <cell r="P1098">
            <v>6525.31</v>
          </cell>
        </row>
        <row r="1099">
          <cell r="A1099" t="str">
            <v>TV SUSEPE 30 40H</v>
          </cell>
          <cell r="B1099" t="str">
            <v>TV SUSEPE</v>
          </cell>
          <cell r="C1099" t="str">
            <v>Tabela de Valores Servidores Penitenciarios</v>
          </cell>
          <cell r="D1099" t="str">
            <v>40H</v>
          </cell>
          <cell r="E1099">
            <v>41579</v>
          </cell>
          <cell r="G1099" t="str">
            <v>30</v>
          </cell>
          <cell r="H1099" t="str">
            <v>Ag Pen - Gr E</v>
          </cell>
          <cell r="I1099" t="str">
            <v>Básico</v>
          </cell>
          <cell r="J1099">
            <v>963.21</v>
          </cell>
          <cell r="K1099" t="str">
            <v>% Risco Vida</v>
          </cell>
          <cell r="L1099">
            <v>222</v>
          </cell>
          <cell r="M1099" t="str">
            <v>Pd Inerente</v>
          </cell>
          <cell r="O1099" t="str">
            <v>Subsídio</v>
          </cell>
          <cell r="P1099">
            <v>7291.79</v>
          </cell>
        </row>
        <row r="1100">
          <cell r="A1100" t="str">
            <v>TV SUSEPE 31 40H</v>
          </cell>
          <cell r="B1100" t="str">
            <v>TV SUSEPE</v>
          </cell>
          <cell r="C1100" t="str">
            <v>Tabela de Valores Servidores Penitenciarios</v>
          </cell>
          <cell r="D1100" t="str">
            <v>40H</v>
          </cell>
          <cell r="E1100">
            <v>41579</v>
          </cell>
          <cell r="G1100" t="str">
            <v>31</v>
          </cell>
          <cell r="H1100" t="str">
            <v>Tec Sup Pen - Gr A</v>
          </cell>
          <cell r="I1100" t="str">
            <v>Básico</v>
          </cell>
          <cell r="J1100">
            <v>989.53</v>
          </cell>
          <cell r="K1100" t="str">
            <v>% Risco Vida</v>
          </cell>
          <cell r="L1100">
            <v>222</v>
          </cell>
          <cell r="M1100" t="str">
            <v>Pd Inerente</v>
          </cell>
          <cell r="O1100" t="str">
            <v>Subsídio</v>
          </cell>
          <cell r="P1100">
            <v>4602.06</v>
          </cell>
        </row>
        <row r="1101">
          <cell r="A1101" t="str">
            <v>TV SUSEPE 32 40H</v>
          </cell>
          <cell r="B1101" t="str">
            <v>TV SUSEPE</v>
          </cell>
          <cell r="C1101" t="str">
            <v>Tabela de Valores Servidores Penitenciarios</v>
          </cell>
          <cell r="D1101" t="str">
            <v>40H</v>
          </cell>
          <cell r="E1101">
            <v>41579</v>
          </cell>
          <cell r="G1101" t="str">
            <v>32</v>
          </cell>
          <cell r="H1101" t="str">
            <v>Tec Sup Pen - Gr B</v>
          </cell>
          <cell r="I1101" t="str">
            <v>Básico</v>
          </cell>
          <cell r="J1101">
            <v>1070.6</v>
          </cell>
          <cell r="K1101" t="str">
            <v>% Risco Vida</v>
          </cell>
          <cell r="L1101">
            <v>222</v>
          </cell>
          <cell r="M1101" t="str">
            <v>Pd Inerente</v>
          </cell>
          <cell r="O1101" t="str">
            <v>Subsídio</v>
          </cell>
          <cell r="P1101">
            <v>4896.91</v>
          </cell>
        </row>
        <row r="1102">
          <cell r="A1102" t="str">
            <v>TV SUSEPE 33 40H</v>
          </cell>
          <cell r="B1102" t="str">
            <v>TV SUSEPE</v>
          </cell>
          <cell r="C1102" t="str">
            <v>Tabela de Valores Servidores Penitenciarios</v>
          </cell>
          <cell r="D1102" t="str">
            <v>40H</v>
          </cell>
          <cell r="E1102">
            <v>41579</v>
          </cell>
          <cell r="G1102" t="str">
            <v>33</v>
          </cell>
          <cell r="H1102" t="str">
            <v>Tec Sup Pen - Gr C</v>
          </cell>
          <cell r="I1102" t="str">
            <v>Básico</v>
          </cell>
          <cell r="J1102">
            <v>1137.22</v>
          </cell>
          <cell r="K1102" t="str">
            <v>% Risco Vida</v>
          </cell>
          <cell r="L1102">
            <v>222</v>
          </cell>
          <cell r="M1102" t="str">
            <v>Pd Inerente</v>
          </cell>
          <cell r="N1102">
            <v>4</v>
          </cell>
          <cell r="O1102" t="str">
            <v>Subsídio</v>
          </cell>
          <cell r="P1102">
            <v>5721.06</v>
          </cell>
        </row>
        <row r="1103">
          <cell r="A1103" t="str">
            <v>TV SUSEPE 34 40H</v>
          </cell>
          <cell r="B1103" t="str">
            <v>TV SUSEPE</v>
          </cell>
          <cell r="C1103" t="str">
            <v>Tabela de Valores Servidores Penitenciarios</v>
          </cell>
          <cell r="D1103" t="str">
            <v>40H</v>
          </cell>
          <cell r="E1103">
            <v>41579</v>
          </cell>
          <cell r="G1103" t="str">
            <v>34</v>
          </cell>
          <cell r="H1103" t="str">
            <v>Tec Sup Pen - Gr D</v>
          </cell>
          <cell r="I1103" t="str">
            <v>Básico</v>
          </cell>
          <cell r="J1103">
            <v>1215.99</v>
          </cell>
          <cell r="K1103" t="str">
            <v>% Risco Vida</v>
          </cell>
          <cell r="L1103">
            <v>222</v>
          </cell>
          <cell r="M1103" t="str">
            <v>Pd Inerente</v>
          </cell>
          <cell r="N1103">
            <v>5</v>
          </cell>
          <cell r="O1103" t="str">
            <v>Subsídio</v>
          </cell>
          <cell r="P1103">
            <v>6762.6</v>
          </cell>
        </row>
        <row r="1104">
          <cell r="A1104" t="str">
            <v>TV SUSEPE 35 40H</v>
          </cell>
          <cell r="B1104" t="str">
            <v>TV SUSEPE</v>
          </cell>
          <cell r="C1104" t="str">
            <v>Tabela de Valores Servidores Penitenciarios</v>
          </cell>
          <cell r="D1104" t="str">
            <v>40H</v>
          </cell>
          <cell r="E1104">
            <v>41579</v>
          </cell>
          <cell r="G1104" t="str">
            <v>35</v>
          </cell>
          <cell r="H1104" t="str">
            <v>Tec Sup Pen - Gr E</v>
          </cell>
          <cell r="I1104" t="str">
            <v>Básico</v>
          </cell>
          <cell r="J1104">
            <v>1315.96</v>
          </cell>
          <cell r="K1104" t="str">
            <v>% Risco Vida</v>
          </cell>
          <cell r="L1104">
            <v>222</v>
          </cell>
          <cell r="M1104" t="str">
            <v>Pd Inerente</v>
          </cell>
          <cell r="O1104" t="str">
            <v>Subsídio</v>
          </cell>
          <cell r="P1104">
            <v>9436.98</v>
          </cell>
        </row>
        <row r="1105">
          <cell r="A1105" t="str">
            <v>TV TEC CIENTIFICO 01 40H</v>
          </cell>
          <cell r="B1105" t="str">
            <v>TV TEC CIENTIFICO</v>
          </cell>
          <cell r="C1105" t="str">
            <v>Tabela de Valores Técnico Científico</v>
          </cell>
          <cell r="D1105" t="str">
            <v>40H</v>
          </cell>
          <cell r="E1105">
            <v>41699</v>
          </cell>
          <cell r="G1105" t="str">
            <v>01</v>
          </cell>
          <cell r="H1105" t="str">
            <v>Classe A</v>
          </cell>
          <cell r="I1105" t="str">
            <v>Básico</v>
          </cell>
          <cell r="J1105">
            <v>3209.54</v>
          </cell>
          <cell r="K1105" t="str">
            <v>Parc Autonoma</v>
          </cell>
          <cell r="L1105">
            <v>0</v>
          </cell>
          <cell r="M1105" t="str">
            <v>Pepa</v>
          </cell>
          <cell r="N1105">
            <v>1302.9</v>
          </cell>
          <cell r="O1105" t="str">
            <v>Gipps</v>
          </cell>
          <cell r="P1105">
            <v>3</v>
          </cell>
        </row>
        <row r="1106">
          <cell r="A1106" t="str">
            <v>TV TEC CIENTIFICO 02 40H</v>
          </cell>
          <cell r="B1106" t="str">
            <v>TV TEC CIENTIFICO</v>
          </cell>
          <cell r="C1106" t="str">
            <v>Tabela de Valores Técnico Científico</v>
          </cell>
          <cell r="D1106" t="str">
            <v>40H</v>
          </cell>
          <cell r="E1106">
            <v>41699</v>
          </cell>
          <cell r="G1106" t="str">
            <v>02</v>
          </cell>
          <cell r="H1106" t="str">
            <v>Classe B</v>
          </cell>
          <cell r="I1106" t="str">
            <v>Básico</v>
          </cell>
          <cell r="J1106">
            <v>3370.01</v>
          </cell>
          <cell r="K1106" t="str">
            <v>Parc Autonoma</v>
          </cell>
          <cell r="L1106">
            <v>0</v>
          </cell>
          <cell r="M1106" t="str">
            <v>Pepa</v>
          </cell>
          <cell r="N1106">
            <v>1302.9</v>
          </cell>
          <cell r="O1106" t="str">
            <v>Gipps</v>
          </cell>
          <cell r="P1106">
            <v>3</v>
          </cell>
        </row>
        <row r="1107">
          <cell r="A1107" t="str">
            <v>TV TEC CIENTIFICO 03 40H</v>
          </cell>
          <cell r="B1107" t="str">
            <v>TV TEC CIENTIFICO</v>
          </cell>
          <cell r="C1107" t="str">
            <v>Tabela de Valores Técnico Científico</v>
          </cell>
          <cell r="D1107" t="str">
            <v>40H</v>
          </cell>
          <cell r="E1107">
            <v>41699</v>
          </cell>
          <cell r="G1107" t="str">
            <v>03</v>
          </cell>
          <cell r="H1107" t="str">
            <v>Classe C</v>
          </cell>
          <cell r="I1107" t="str">
            <v>Básico</v>
          </cell>
          <cell r="J1107">
            <v>3538.51</v>
          </cell>
          <cell r="K1107" t="str">
            <v>Parc Autonoma</v>
          </cell>
          <cell r="L1107">
            <v>0</v>
          </cell>
          <cell r="M1107" t="str">
            <v>Pepa</v>
          </cell>
          <cell r="N1107">
            <v>1302.9</v>
          </cell>
          <cell r="O1107" t="str">
            <v>Gipps</v>
          </cell>
          <cell r="P1107">
            <v>3</v>
          </cell>
        </row>
        <row r="1108">
          <cell r="A1108" t="str">
            <v>TV TEC CIENTIFICO 04 40H</v>
          </cell>
          <cell r="B1108" t="str">
            <v>TV TEC CIENTIFICO</v>
          </cell>
          <cell r="C1108" t="str">
            <v>Tabela de Valores Técnico Científico</v>
          </cell>
          <cell r="D1108" t="str">
            <v>40H</v>
          </cell>
          <cell r="E1108">
            <v>41699</v>
          </cell>
          <cell r="G1108" t="str">
            <v>04</v>
          </cell>
          <cell r="H1108" t="str">
            <v>Classe D</v>
          </cell>
          <cell r="I1108" t="str">
            <v>Básico</v>
          </cell>
          <cell r="J1108">
            <v>3715.43</v>
          </cell>
          <cell r="K1108" t="str">
            <v>Parc Autonoma</v>
          </cell>
          <cell r="L1108">
            <v>0</v>
          </cell>
          <cell r="M1108" t="str">
            <v>Pepa</v>
          </cell>
          <cell r="N1108">
            <v>1302.9</v>
          </cell>
          <cell r="O1108" t="str">
            <v>Gipps</v>
          </cell>
        </row>
        <row r="1109">
          <cell r="A1109" t="str">
            <v>TV TEC CIENTIFICO 05 40H</v>
          </cell>
          <cell r="B1109" t="str">
            <v>TV TEC CIENTIFICO</v>
          </cell>
          <cell r="C1109" t="str">
            <v>Tabela de Valores Técnico Científico</v>
          </cell>
          <cell r="D1109" t="str">
            <v>40H</v>
          </cell>
          <cell r="E1109">
            <v>41699</v>
          </cell>
          <cell r="G1109" t="str">
            <v>05</v>
          </cell>
          <cell r="H1109" t="str">
            <v>Classe E</v>
          </cell>
          <cell r="I1109" t="str">
            <v>Básico</v>
          </cell>
          <cell r="J1109">
            <v>3901.2</v>
          </cell>
          <cell r="K1109" t="str">
            <v>Parc Autonoma</v>
          </cell>
          <cell r="L1109">
            <v>0</v>
          </cell>
          <cell r="M1109" t="str">
            <v>Pepa</v>
          </cell>
          <cell r="O1109" t="str">
            <v>Gipps</v>
          </cell>
        </row>
        <row r="1110">
          <cell r="A1110" t="str">
            <v>TV TEC CIENTIFICO 06 40H</v>
          </cell>
          <cell r="B1110" t="str">
            <v>TV TEC CIENTIFICO</v>
          </cell>
          <cell r="C1110" t="str">
            <v>Tabela de Valores Técnico Científico</v>
          </cell>
          <cell r="D1110" t="str">
            <v>40H</v>
          </cell>
          <cell r="E1110">
            <v>41699</v>
          </cell>
          <cell r="G1110" t="str">
            <v>06</v>
          </cell>
          <cell r="H1110" t="str">
            <v>Classe F</v>
          </cell>
          <cell r="I1110" t="str">
            <v>Básico</v>
          </cell>
          <cell r="J1110">
            <v>4096.27</v>
          </cell>
          <cell r="K1110" t="str">
            <v>Parc Autonoma</v>
          </cell>
          <cell r="L1110">
            <v>0</v>
          </cell>
          <cell r="M1110" t="str">
            <v>Pepa</v>
          </cell>
          <cell r="O1110" t="str">
            <v>Gipps</v>
          </cell>
        </row>
        <row r="1111">
          <cell r="A1111" t="str">
            <v>TV TEC CIENTIFICO EX 01 40H</v>
          </cell>
          <cell r="B1111" t="str">
            <v>TV TEC CIENTIFICO EX</v>
          </cell>
          <cell r="C1111" t="str">
            <v>Tabela de Valores Técnico Científico em Extinçao IRGA</v>
          </cell>
          <cell r="D1111" t="str">
            <v>40H</v>
          </cell>
          <cell r="E1111">
            <v>41699</v>
          </cell>
          <cell r="G1111" t="str">
            <v>01</v>
          </cell>
          <cell r="H1111" t="str">
            <v>Classe A</v>
          </cell>
          <cell r="I1111" t="str">
            <v>Básico</v>
          </cell>
          <cell r="J1111">
            <v>3209.54</v>
          </cell>
        </row>
        <row r="1112">
          <cell r="A1112" t="str">
            <v>TV TEC CIENTIFICO EX 02 40H</v>
          </cell>
          <cell r="B1112" t="str">
            <v>TV TEC CIENTIFICO EX</v>
          </cell>
          <cell r="C1112" t="str">
            <v>Tabela de Valores Técnico Científico em Extinçao IRGA</v>
          </cell>
          <cell r="D1112" t="str">
            <v>40H</v>
          </cell>
          <cell r="E1112">
            <v>41699</v>
          </cell>
          <cell r="G1112" t="str">
            <v>02</v>
          </cell>
          <cell r="H1112" t="str">
            <v>Classe B</v>
          </cell>
          <cell r="I1112" t="str">
            <v>Básico</v>
          </cell>
          <cell r="J1112">
            <v>3370.01</v>
          </cell>
        </row>
        <row r="1113">
          <cell r="A1113" t="str">
            <v>TV TEC CIENTIFICO EX 03 40H</v>
          </cell>
          <cell r="B1113" t="str">
            <v>TV TEC CIENTIFICO EX</v>
          </cell>
          <cell r="C1113" t="str">
            <v>Tabela de Valores Técnico Científico em Extinçao IRGA</v>
          </cell>
          <cell r="D1113" t="str">
            <v>40H</v>
          </cell>
          <cell r="E1113">
            <v>41699</v>
          </cell>
          <cell r="G1113" t="str">
            <v>03</v>
          </cell>
          <cell r="H1113" t="str">
            <v>Classe C</v>
          </cell>
          <cell r="I1113" t="str">
            <v>Básico</v>
          </cell>
          <cell r="J1113">
            <v>3538.5</v>
          </cell>
        </row>
        <row r="1114">
          <cell r="A1114" t="str">
            <v>TV TEC CIENTIFICO EX 04 40H</v>
          </cell>
          <cell r="B1114" t="str">
            <v>TV TEC CIENTIFICO EX</v>
          </cell>
          <cell r="C1114" t="str">
            <v>Tabela de Valores Técnico Científico em Extinçao IRGA</v>
          </cell>
          <cell r="D1114" t="str">
            <v>40H</v>
          </cell>
          <cell r="E1114">
            <v>41699</v>
          </cell>
          <cell r="G1114" t="str">
            <v>04</v>
          </cell>
          <cell r="H1114" t="str">
            <v>Classe D</v>
          </cell>
          <cell r="I1114" t="str">
            <v>Básico</v>
          </cell>
          <cell r="J1114">
            <v>3715.43</v>
          </cell>
        </row>
        <row r="1115">
          <cell r="A1115" t="str">
            <v>TV TEC NIVEL MEDIO 01 40H</v>
          </cell>
          <cell r="B1115" t="str">
            <v>TV TEC NIVEL MEDIO</v>
          </cell>
          <cell r="C1115" t="str">
            <v>Tabela de Valores Técnico de Nível Médio do Estado</v>
          </cell>
          <cell r="D1115" t="str">
            <v>40H</v>
          </cell>
          <cell r="E1115">
            <v>41153</v>
          </cell>
          <cell r="G1115" t="str">
            <v>01</v>
          </cell>
          <cell r="H1115" t="str">
            <v>Grau A</v>
          </cell>
          <cell r="I1115" t="str">
            <v>Básico</v>
          </cell>
          <cell r="J1115">
            <v>1197.58</v>
          </cell>
        </row>
        <row r="1116">
          <cell r="A1116" t="str">
            <v>TV TEC NIVEL MEDIO 02 40H</v>
          </cell>
          <cell r="B1116" t="str">
            <v>TV TEC NIVEL MEDIO</v>
          </cell>
          <cell r="C1116" t="str">
            <v>Tabela de Valores Técnico de Nível Médio do Estado</v>
          </cell>
          <cell r="D1116" t="str">
            <v>40H</v>
          </cell>
          <cell r="E1116">
            <v>41153</v>
          </cell>
          <cell r="G1116" t="str">
            <v>02</v>
          </cell>
          <cell r="H1116" t="str">
            <v>Grau B</v>
          </cell>
          <cell r="I1116" t="str">
            <v>Básico</v>
          </cell>
          <cell r="J1116">
            <v>1229</v>
          </cell>
        </row>
        <row r="1117">
          <cell r="A1117" t="str">
            <v>TV TEC NIVEL MEDIO 03 40H</v>
          </cell>
          <cell r="B1117" t="str">
            <v>TV TEC NIVEL MEDIO</v>
          </cell>
          <cell r="C1117" t="str">
            <v>Tabela de Valores Técnico de Nível Médio do Estado</v>
          </cell>
          <cell r="D1117" t="str">
            <v>40H</v>
          </cell>
          <cell r="E1117">
            <v>41153</v>
          </cell>
          <cell r="G1117" t="str">
            <v>03</v>
          </cell>
          <cell r="H1117" t="str">
            <v>Grau C</v>
          </cell>
          <cell r="I1117" t="str">
            <v>Básico</v>
          </cell>
          <cell r="J1117">
            <v>1262.33</v>
          </cell>
        </row>
        <row r="1118">
          <cell r="A1118" t="str">
            <v>TV TEC NIVEL MEDIO 04 40H</v>
          </cell>
          <cell r="B1118" t="str">
            <v>TV TEC NIVEL MEDIO</v>
          </cell>
          <cell r="C1118" t="str">
            <v>Tabela de Valores Técnico de Nível Médio do Estado</v>
          </cell>
          <cell r="D1118" t="str">
            <v>40H</v>
          </cell>
          <cell r="E1118">
            <v>41153</v>
          </cell>
          <cell r="G1118" t="str">
            <v>04</v>
          </cell>
          <cell r="H1118" t="str">
            <v>Grau D</v>
          </cell>
          <cell r="I1118" t="str">
            <v>Básico</v>
          </cell>
          <cell r="J1118">
            <v>1297.34</v>
          </cell>
        </row>
        <row r="1119">
          <cell r="A1119" t="str">
            <v>TV TEC PLANEJAM 01 40H</v>
          </cell>
          <cell r="B1119" t="str">
            <v>TV TEC PLANEJAM</v>
          </cell>
          <cell r="C1119" t="str">
            <v>Tabela de Valores Tecnico em Planejamento</v>
          </cell>
          <cell r="D1119" t="str">
            <v>40H</v>
          </cell>
          <cell r="E1119">
            <v>41091</v>
          </cell>
          <cell r="G1119" t="str">
            <v>01</v>
          </cell>
          <cell r="H1119" t="str">
            <v>Cl A</v>
          </cell>
          <cell r="I1119" t="str">
            <v>Básico</v>
          </cell>
          <cell r="J1119">
            <v>3636.95</v>
          </cell>
          <cell r="K1119" t="str">
            <v>Parc Autonoma</v>
          </cell>
          <cell r="L1119">
            <v>0</v>
          </cell>
        </row>
        <row r="1120">
          <cell r="A1120" t="str">
            <v>TV TEC PLANEJAM 02 40H</v>
          </cell>
          <cell r="B1120" t="str">
            <v>TV TEC PLANEJAM</v>
          </cell>
          <cell r="C1120" t="str">
            <v>Tabela de Valores Tecnico em Planejamento</v>
          </cell>
          <cell r="D1120" t="str">
            <v>40H</v>
          </cell>
          <cell r="E1120">
            <v>41091</v>
          </cell>
          <cell r="G1120" t="str">
            <v>02</v>
          </cell>
          <cell r="H1120" t="str">
            <v>Cl B</v>
          </cell>
          <cell r="I1120" t="str">
            <v>Básico</v>
          </cell>
          <cell r="J1120">
            <v>3770.43</v>
          </cell>
          <cell r="K1120" t="str">
            <v>Parc Autonoma</v>
          </cell>
          <cell r="L1120">
            <v>0</v>
          </cell>
        </row>
        <row r="1121">
          <cell r="A1121" t="str">
            <v>TV TEC PLANEJAM 03 40H</v>
          </cell>
          <cell r="B1121" t="str">
            <v>TV TEC PLANEJAM</v>
          </cell>
          <cell r="C1121" t="str">
            <v>Tabela de Valores Tecnico em Planejamento</v>
          </cell>
          <cell r="D1121" t="str">
            <v>40H</v>
          </cell>
          <cell r="E1121">
            <v>41091</v>
          </cell>
          <cell r="G1121" t="str">
            <v>03</v>
          </cell>
          <cell r="H1121" t="str">
            <v>Cl C</v>
          </cell>
          <cell r="I1121" t="str">
            <v>Básico</v>
          </cell>
          <cell r="J1121">
            <v>4029</v>
          </cell>
          <cell r="K1121" t="str">
            <v>Parc Autonoma</v>
          </cell>
          <cell r="L1121">
            <v>0</v>
          </cell>
        </row>
        <row r="1122">
          <cell r="A1122" t="str">
            <v>TV TEC PLANEJAM 04 40H</v>
          </cell>
          <cell r="B1122" t="str">
            <v>TV TEC PLANEJAM</v>
          </cell>
          <cell r="C1122" t="str">
            <v>Tabela de Valores Tecnico em Planejamento</v>
          </cell>
          <cell r="D1122" t="str">
            <v>40H</v>
          </cell>
          <cell r="E1122">
            <v>41091</v>
          </cell>
          <cell r="G1122" t="str">
            <v>04</v>
          </cell>
          <cell r="H1122" t="str">
            <v>Cl D</v>
          </cell>
          <cell r="I1122" t="str">
            <v>Básico</v>
          </cell>
          <cell r="J1122">
            <v>4162.75</v>
          </cell>
          <cell r="K1122" t="str">
            <v>Parc Autonoma</v>
          </cell>
          <cell r="L1122">
            <v>0</v>
          </cell>
        </row>
        <row r="1123">
          <cell r="A1123" t="str">
            <v>TV VALE TRANSPORTE 0001 SEM JORNADA</v>
          </cell>
          <cell r="B1123" t="str">
            <v>TV VALE TRANSPORTE</v>
          </cell>
          <cell r="C1123" t="str">
            <v>Tabela de Valores Vale Transporte</v>
          </cell>
          <cell r="D1123" t="str">
            <v>SEM JORNADA</v>
          </cell>
          <cell r="E1123">
            <v>41699</v>
          </cell>
          <cell r="G1123" t="str">
            <v>0001</v>
          </cell>
          <cell r="H1123" t="str">
            <v>Campo Bom</v>
          </cell>
          <cell r="I1123" t="str">
            <v>Valor Passagem</v>
          </cell>
          <cell r="J1123">
            <v>11.15</v>
          </cell>
        </row>
        <row r="1124">
          <cell r="A1124" t="str">
            <v>TV VALE TRANSPORTE 0002 SEM JORNADA</v>
          </cell>
          <cell r="B1124" t="str">
            <v>TV VALE TRANSPORTE</v>
          </cell>
          <cell r="C1124" t="str">
            <v>Tabela de Valores Vale Transporte</v>
          </cell>
          <cell r="D1124" t="str">
            <v>SEM JORNADA</v>
          </cell>
          <cell r="E1124">
            <v>41699</v>
          </cell>
          <cell r="G1124" t="str">
            <v>0002</v>
          </cell>
          <cell r="H1124" t="str">
            <v>Araçá</v>
          </cell>
          <cell r="I1124" t="str">
            <v>Valor Passagem</v>
          </cell>
          <cell r="J1124">
            <v>12.75</v>
          </cell>
        </row>
        <row r="1125">
          <cell r="A1125" t="str">
            <v>TV VALE TRANSPORTE 0003 SEM JORNADA</v>
          </cell>
          <cell r="B1125" t="str">
            <v>TV VALE TRANSPORTE</v>
          </cell>
          <cell r="C1125" t="str">
            <v>Tabela de Valores Vale Transporte</v>
          </cell>
          <cell r="D1125" t="str">
            <v>SEM JORNADA</v>
          </cell>
          <cell r="E1125">
            <v>41699</v>
          </cell>
          <cell r="G1125" t="str">
            <v>0003</v>
          </cell>
          <cell r="H1125" t="str">
            <v>Santo Antônio</v>
          </cell>
          <cell r="I1125" t="str">
            <v>Valor Passagem</v>
          </cell>
          <cell r="J1125">
            <v>12.55</v>
          </cell>
        </row>
        <row r="1126">
          <cell r="A1126" t="str">
            <v>TV VALE TRANSPORTE 0004 SEM JORNADA</v>
          </cell>
          <cell r="B1126" t="str">
            <v>TV VALE TRANSPORTE</v>
          </cell>
          <cell r="C1126" t="str">
            <v>Tabela de Valores Vale Transporte</v>
          </cell>
          <cell r="D1126" t="str">
            <v>SEM JORNADA</v>
          </cell>
          <cell r="E1126">
            <v>41699</v>
          </cell>
          <cell r="G1126" t="str">
            <v>0004</v>
          </cell>
          <cell r="H1126" t="str">
            <v>Rio Grande/Cassino</v>
          </cell>
          <cell r="I1126" t="str">
            <v>Valor Passagem</v>
          </cell>
          <cell r="J1126">
            <v>1.5</v>
          </cell>
        </row>
        <row r="1127">
          <cell r="A1127" t="str">
            <v>TV VALE TRANSPORTE 0005 SEM JORNADA</v>
          </cell>
          <cell r="B1127" t="str">
            <v>TV VALE TRANSPORTE</v>
          </cell>
          <cell r="C1127" t="str">
            <v>Tabela de Valores Vale Transporte</v>
          </cell>
          <cell r="D1127" t="str">
            <v>SEM JORNADA</v>
          </cell>
          <cell r="E1127">
            <v>41699</v>
          </cell>
          <cell r="G1127" t="str">
            <v>0005</v>
          </cell>
          <cell r="H1127" t="str">
            <v>Glorinha</v>
          </cell>
          <cell r="I1127" t="str">
            <v>Valor Passagem</v>
          </cell>
          <cell r="J1127">
            <v>8.35</v>
          </cell>
        </row>
        <row r="1128">
          <cell r="A1128" t="str">
            <v>TV VALE TRANSPORTE 0006 SEM JORNADA</v>
          </cell>
          <cell r="B1128" t="str">
            <v>TV VALE TRANSPORTE</v>
          </cell>
          <cell r="C1128" t="str">
            <v>Tabela de Valores Vale Transporte</v>
          </cell>
          <cell r="D1128" t="str">
            <v>SEM JORNADA</v>
          </cell>
          <cell r="E1128">
            <v>41699</v>
          </cell>
          <cell r="G1128" t="str">
            <v>0006</v>
          </cell>
          <cell r="H1128" t="str">
            <v>Arroio dos Ratos</v>
          </cell>
          <cell r="I1128" t="str">
            <v>Valor Passagem</v>
          </cell>
          <cell r="J1128">
            <v>6.4</v>
          </cell>
        </row>
        <row r="1129">
          <cell r="A1129" t="str">
            <v>TV VALE TRANSPORTE 0007 SEM JORNADA</v>
          </cell>
          <cell r="B1129" t="str">
            <v>TV VALE TRANSPORTE</v>
          </cell>
          <cell r="C1129" t="str">
            <v>Tabela de Valores Vale Transporte</v>
          </cell>
          <cell r="D1129" t="str">
            <v>SEM JORNADA</v>
          </cell>
          <cell r="E1129">
            <v>41699</v>
          </cell>
          <cell r="G1129" t="str">
            <v>0007</v>
          </cell>
          <cell r="H1129" t="str">
            <v>Tramandaí/Cidreira</v>
          </cell>
          <cell r="I1129" t="str">
            <v>Valor Passagem</v>
          </cell>
          <cell r="J1129">
            <v>3.5</v>
          </cell>
        </row>
        <row r="1130">
          <cell r="A1130" t="str">
            <v>TV VALE TRANSPORTE 0008 SEM JORNADA</v>
          </cell>
          <cell r="B1130" t="str">
            <v>TV VALE TRANSPORTE</v>
          </cell>
          <cell r="C1130" t="str">
            <v>Tabela de Valores Vale Transporte</v>
          </cell>
          <cell r="D1130" t="str">
            <v>SEM JORNADA</v>
          </cell>
          <cell r="E1130">
            <v>41699</v>
          </cell>
          <cell r="G1130" t="str">
            <v>0008</v>
          </cell>
          <cell r="H1130" t="str">
            <v>Camaquâ/Porto Alegre</v>
          </cell>
          <cell r="I1130" t="str">
            <v>Valor Passagem</v>
          </cell>
          <cell r="J1130">
            <v>19.95</v>
          </cell>
        </row>
        <row r="1131">
          <cell r="A1131" t="str">
            <v>TV VALE TRANSPORTE 0009 SEM JORNADA</v>
          </cell>
          <cell r="B1131" t="str">
            <v>TV VALE TRANSPORTE</v>
          </cell>
          <cell r="C1131" t="str">
            <v>Tabela de Valores Vale Transporte</v>
          </cell>
          <cell r="D1131" t="str">
            <v>SEM JORNADA</v>
          </cell>
          <cell r="E1131">
            <v>41699</v>
          </cell>
          <cell r="G1131" t="str">
            <v>0009</v>
          </cell>
          <cell r="H1131" t="str">
            <v>Montenegro-Entrada Pólo</v>
          </cell>
          <cell r="I1131" t="str">
            <v>Valor Passagem</v>
          </cell>
          <cell r="J1131">
            <v>3.6</v>
          </cell>
        </row>
        <row r="1132">
          <cell r="A1132" t="str">
            <v>TV VALE TRANSPORTE 0010 SEM JORNADA</v>
          </cell>
          <cell r="B1132" t="str">
            <v>TV VALE TRANSPORTE</v>
          </cell>
          <cell r="C1132" t="str">
            <v>Tabela de Valores Vale Transporte</v>
          </cell>
          <cell r="D1132" t="str">
            <v>SEM JORNADA</v>
          </cell>
          <cell r="E1132">
            <v>41699</v>
          </cell>
          <cell r="G1132" t="str">
            <v>0010</v>
          </cell>
          <cell r="H1132" t="str">
            <v>Montenegro-Circular Pólo</v>
          </cell>
          <cell r="I1132" t="str">
            <v>Valor Passagem</v>
          </cell>
          <cell r="J1132">
            <v>2.65</v>
          </cell>
        </row>
        <row r="1133">
          <cell r="A1133" t="str">
            <v>TV VALE TRANSPORTE 0011 SEM JORNADA</v>
          </cell>
          <cell r="B1133" t="str">
            <v>TV VALE TRANSPORTE</v>
          </cell>
          <cell r="C1133" t="str">
            <v>Tabela de Valores Vale Transporte</v>
          </cell>
          <cell r="D1133" t="str">
            <v>SEM JORNADA</v>
          </cell>
          <cell r="E1133">
            <v>41699</v>
          </cell>
          <cell r="G1133" t="str">
            <v>0011</v>
          </cell>
          <cell r="H1133" t="str">
            <v>Caxias-Urbano</v>
          </cell>
          <cell r="I1133" t="str">
            <v>Valor Passagem</v>
          </cell>
          <cell r="J1133">
            <v>2.75</v>
          </cell>
        </row>
        <row r="1134">
          <cell r="A1134" t="str">
            <v>TV VALE TRANSPORTE 0012 SEM JORNADA</v>
          </cell>
          <cell r="B1134" t="str">
            <v>TV VALE TRANSPORTE</v>
          </cell>
          <cell r="C1134" t="str">
            <v>Tabela de Valores Vale Transporte</v>
          </cell>
          <cell r="D1134" t="str">
            <v>SEM JORNADA</v>
          </cell>
          <cell r="E1134">
            <v>41699</v>
          </cell>
          <cell r="G1134" t="str">
            <v>0012</v>
          </cell>
          <cell r="H1134" t="str">
            <v>Santa Maria-Urbano</v>
          </cell>
          <cell r="I1134" t="str">
            <v>Valor Passagem</v>
          </cell>
          <cell r="J1134">
            <v>2.45</v>
          </cell>
        </row>
        <row r="1135">
          <cell r="A1135" t="str">
            <v>TV VALE TRANSPORTE 0013 SEM JORNADA</v>
          </cell>
          <cell r="B1135" t="str">
            <v>TV VALE TRANSPORTE</v>
          </cell>
          <cell r="C1135" t="str">
            <v>Tabela de Valores Vale Transporte</v>
          </cell>
          <cell r="D1135" t="str">
            <v>SEM JORNADA</v>
          </cell>
          <cell r="E1135">
            <v>41699</v>
          </cell>
          <cell r="G1135" t="str">
            <v>0013</v>
          </cell>
          <cell r="H1135" t="str">
            <v>Pelotas-Urbano</v>
          </cell>
          <cell r="I1135" t="str">
            <v>Valor Passagem</v>
          </cell>
          <cell r="J1135">
            <v>2.6</v>
          </cell>
        </row>
        <row r="1136">
          <cell r="A1136" t="str">
            <v>TV VALE TRANSPORTE 0014 SEM JORNADA</v>
          </cell>
          <cell r="B1136" t="str">
            <v>TV VALE TRANSPORTE</v>
          </cell>
          <cell r="C1136" t="str">
            <v>Tabela de Valores Vale Transporte</v>
          </cell>
          <cell r="D1136" t="str">
            <v>SEM JORNADA</v>
          </cell>
          <cell r="E1136">
            <v>41699</v>
          </cell>
          <cell r="G1136" t="str">
            <v>0014</v>
          </cell>
          <cell r="H1136" t="str">
            <v>Santo Ângelo-Urbano</v>
          </cell>
          <cell r="I1136" t="str">
            <v>Valor Passagem</v>
          </cell>
          <cell r="J1136">
            <v>2.1</v>
          </cell>
        </row>
        <row r="1137">
          <cell r="A1137" t="str">
            <v>TV VALE TRANSPORTE 0015 SEM JORNADA</v>
          </cell>
          <cell r="B1137" t="str">
            <v>TV VALE TRANSPORTE</v>
          </cell>
          <cell r="C1137" t="str">
            <v>Tabela de Valores Vale Transporte</v>
          </cell>
          <cell r="D1137" t="str">
            <v>SEM JORNADA</v>
          </cell>
          <cell r="E1137">
            <v>41699</v>
          </cell>
          <cell r="G1137" t="str">
            <v>0015</v>
          </cell>
          <cell r="H1137" t="str">
            <v>Passo Fundo-Urbano</v>
          </cell>
          <cell r="I1137" t="str">
            <v>Valor Passagem</v>
          </cell>
          <cell r="J1137">
            <v>2.6</v>
          </cell>
        </row>
        <row r="1138">
          <cell r="A1138" t="str">
            <v>TV VALE TRANSPORTE 0016 SEM JORNADA</v>
          </cell>
          <cell r="B1138" t="str">
            <v>TV VALE TRANSPORTE</v>
          </cell>
          <cell r="C1138" t="str">
            <v>Tabela de Valores Vale Transporte</v>
          </cell>
          <cell r="D1138" t="str">
            <v>SEM JORNADA</v>
          </cell>
          <cell r="E1138">
            <v>41699</v>
          </cell>
          <cell r="G1138" t="str">
            <v>0016</v>
          </cell>
          <cell r="H1138" t="str">
            <v>Santa Maria-Jaguari (diurno)</v>
          </cell>
          <cell r="I1138" t="str">
            <v>Valor Passagem</v>
          </cell>
          <cell r="J1138">
            <v>14.2</v>
          </cell>
        </row>
        <row r="1139">
          <cell r="A1139" t="str">
            <v>TV VALE TRANSPORTE 0017 SEM JORNADA</v>
          </cell>
          <cell r="B1139" t="str">
            <v>TV VALE TRANSPORTE</v>
          </cell>
          <cell r="C1139" t="str">
            <v>Tabela de Valores Vale Transporte</v>
          </cell>
          <cell r="D1139" t="str">
            <v>SEM JORNADA</v>
          </cell>
          <cell r="E1139">
            <v>41699</v>
          </cell>
          <cell r="G1139" t="str">
            <v>0017</v>
          </cell>
          <cell r="H1139" t="str">
            <v>Santa Maria-Jaguari (noturno)</v>
          </cell>
          <cell r="I1139" t="str">
            <v>Valor Passagem</v>
          </cell>
          <cell r="J1139">
            <v>16.65</v>
          </cell>
        </row>
        <row r="1140">
          <cell r="A1140" t="str">
            <v>TV VALE TRANSPORTE 0018 SEM JORNADA</v>
          </cell>
          <cell r="B1140" t="str">
            <v>TV VALE TRANSPORTE</v>
          </cell>
          <cell r="C1140" t="str">
            <v>Tabela de Valores Vale Transporte</v>
          </cell>
          <cell r="D1140" t="str">
            <v>SEM JORNADA</v>
          </cell>
          <cell r="E1140">
            <v>41699</v>
          </cell>
          <cell r="G1140" t="str">
            <v>0018</v>
          </cell>
          <cell r="H1140" t="str">
            <v>Santa Maria-Boca do Monte (Exp. Medianeira)</v>
          </cell>
          <cell r="I1140" t="str">
            <v>Valor Passagem</v>
          </cell>
          <cell r="J1140">
            <v>2.63</v>
          </cell>
        </row>
        <row r="1141">
          <cell r="A1141" t="str">
            <v>TV VALE TRANSPORTE 0019 SEM JORNADA</v>
          </cell>
          <cell r="B1141" t="str">
            <v>TV VALE TRANSPORTE</v>
          </cell>
          <cell r="C1141" t="str">
            <v>Tabela de Valores Vale Transporte</v>
          </cell>
          <cell r="D1141" t="str">
            <v>SEM JORNADA</v>
          </cell>
          <cell r="E1141">
            <v>41699</v>
          </cell>
          <cell r="G1141" t="str">
            <v>0019</v>
          </cell>
          <cell r="H1141" t="str">
            <v>Santa Maria-Santiago (noturno)</v>
          </cell>
          <cell r="I1141" t="str">
            <v>Valor Passagem</v>
          </cell>
          <cell r="J1141">
            <v>31</v>
          </cell>
        </row>
        <row r="1142">
          <cell r="A1142" t="str">
            <v>TV VALE TRANSPORTE 0020 SEM JORNADA</v>
          </cell>
          <cell r="B1142" t="str">
            <v>TV VALE TRANSPORTE</v>
          </cell>
          <cell r="C1142" t="str">
            <v>Tabela de Valores Vale Transporte</v>
          </cell>
          <cell r="D1142" t="str">
            <v>SEM JORNADA</v>
          </cell>
          <cell r="E1142">
            <v>41699</v>
          </cell>
          <cell r="G1142" t="str">
            <v>0020</v>
          </cell>
          <cell r="H1142" t="str">
            <v>Pelotas- Colônia- Semi-Urbano</v>
          </cell>
          <cell r="I1142" t="str">
            <v>Valor Passagem</v>
          </cell>
          <cell r="J1142">
            <v>12</v>
          </cell>
        </row>
        <row r="1143">
          <cell r="A1143" t="str">
            <v>TV VALE TRANSPORTE 0021 SEM JORNADA</v>
          </cell>
          <cell r="B1143" t="str">
            <v>TV VALE TRANSPORTE</v>
          </cell>
          <cell r="C1143" t="str">
            <v>Tabela de Valores Vale Transporte</v>
          </cell>
          <cell r="D1143" t="str">
            <v>SEM JORNADA</v>
          </cell>
          <cell r="E1143">
            <v>41699</v>
          </cell>
          <cell r="G1143" t="str">
            <v>0021</v>
          </cell>
          <cell r="H1143" t="str">
            <v>Santa Maria-Cachoeira-Noturna</v>
          </cell>
          <cell r="I1143" t="str">
            <v>Valor Passagem</v>
          </cell>
          <cell r="J1143">
            <v>24.85</v>
          </cell>
        </row>
        <row r="1144">
          <cell r="A1144" t="str">
            <v>TV VALE TRANSPORTE 0022 SEM JORNADA</v>
          </cell>
          <cell r="B1144" t="str">
            <v>TV VALE TRANSPORTE</v>
          </cell>
          <cell r="C1144" t="str">
            <v>Tabela de Valores Vale Transporte</v>
          </cell>
          <cell r="D1144" t="str">
            <v>SEM JORNADA</v>
          </cell>
          <cell r="E1144">
            <v>41699</v>
          </cell>
          <cell r="G1144" t="str">
            <v>0022</v>
          </cell>
          <cell r="H1144" t="str">
            <v>Uruguaiana-Van-Urbana</v>
          </cell>
          <cell r="I1144" t="str">
            <v>Valor Passagem</v>
          </cell>
          <cell r="J1144">
            <v>7</v>
          </cell>
        </row>
        <row r="1145">
          <cell r="A1145" t="str">
            <v>TV VALE TRANSPORTE 0023 SEM JORNADA</v>
          </cell>
          <cell r="B1145" t="str">
            <v>TV VALE TRANSPORTE</v>
          </cell>
          <cell r="C1145" t="str">
            <v>Tabela de Valores Vale Transporte</v>
          </cell>
          <cell r="D1145" t="str">
            <v>SEM JORNADA</v>
          </cell>
          <cell r="E1145">
            <v>41699</v>
          </cell>
          <cell r="G1145" t="str">
            <v>0023</v>
          </cell>
          <cell r="H1145" t="str">
            <v>Interligação- S.Léo/N.Hamburgo- B29</v>
          </cell>
          <cell r="I1145" t="str">
            <v>Valor Passagem</v>
          </cell>
          <cell r="J1145">
            <v>3.75</v>
          </cell>
        </row>
        <row r="1146">
          <cell r="A1146" t="str">
            <v>TV VALE TRANSPORTE 0024 SEM JORNADA</v>
          </cell>
          <cell r="B1146" t="str">
            <v>TV VALE TRANSPORTE</v>
          </cell>
          <cell r="C1146" t="str">
            <v>Tabela de Valores Vale Transporte</v>
          </cell>
          <cell r="D1146" t="str">
            <v>SEM JORNADA</v>
          </cell>
          <cell r="E1146">
            <v>41699</v>
          </cell>
          <cell r="G1146" t="str">
            <v>0024</v>
          </cell>
          <cell r="H1146" t="str">
            <v>Taquara-N. Hamburgo(Semi-Direto)</v>
          </cell>
          <cell r="I1146" t="str">
            <v>Valor Passagem</v>
          </cell>
          <cell r="J1146">
            <v>8.6</v>
          </cell>
        </row>
        <row r="1147">
          <cell r="A1147" t="str">
            <v>TV VALE TRANSPORTE 0025 SEM JORNADA</v>
          </cell>
          <cell r="B1147" t="str">
            <v>TV VALE TRANSPORTE</v>
          </cell>
          <cell r="C1147" t="str">
            <v>Tabela de Valores Vale Transporte</v>
          </cell>
          <cell r="D1147" t="str">
            <v>SEM JORNADA</v>
          </cell>
          <cell r="E1147">
            <v>41699</v>
          </cell>
          <cell r="G1147" t="str">
            <v>0025</v>
          </cell>
          <cell r="H1147" t="str">
            <v>Montenegro-N. Hamburgo R732</v>
          </cell>
          <cell r="I1147" t="str">
            <v>Valor Passagem</v>
          </cell>
          <cell r="J1147">
            <v>4.8</v>
          </cell>
        </row>
        <row r="1148">
          <cell r="A1148" t="str">
            <v>TV VALE TRANSPORTE 0026 SEM JORNADA</v>
          </cell>
          <cell r="B1148" t="str">
            <v>TV VALE TRANSPORTE</v>
          </cell>
          <cell r="C1148" t="str">
            <v>Tabela de Valores Vale Transporte</v>
          </cell>
          <cell r="D1148" t="str">
            <v>SEM JORNADA</v>
          </cell>
          <cell r="E1148">
            <v>41699</v>
          </cell>
          <cell r="G1148" t="str">
            <v>0026</v>
          </cell>
          <cell r="H1148" t="str">
            <v>Montenegro-Portão N701</v>
          </cell>
          <cell r="I1148" t="str">
            <v>Valor Passagem</v>
          </cell>
          <cell r="J1148">
            <v>3.75</v>
          </cell>
        </row>
        <row r="1149">
          <cell r="A1149" t="str">
            <v>TV VALE TRANSPORTE 0027 SEM JORNADA</v>
          </cell>
          <cell r="B1149" t="str">
            <v>TV VALE TRANSPORTE</v>
          </cell>
          <cell r="C1149" t="str">
            <v>Tabela de Valores Vale Transporte</v>
          </cell>
          <cell r="D1149" t="str">
            <v>SEM JORNADA</v>
          </cell>
          <cell r="E1149">
            <v>41699</v>
          </cell>
          <cell r="G1149" t="str">
            <v>0027</v>
          </cell>
          <cell r="H1149" t="str">
            <v>Sharlau-Portão N701*</v>
          </cell>
          <cell r="I1149" t="str">
            <v>Valor Passagem</v>
          </cell>
          <cell r="J1149">
            <v>2.75</v>
          </cell>
        </row>
        <row r="1150">
          <cell r="A1150" t="str">
            <v>TV VALE TRANSPORTE 0028 SEM JORNADA</v>
          </cell>
          <cell r="B1150" t="str">
            <v>TV VALE TRANSPORTE</v>
          </cell>
          <cell r="C1150" t="str">
            <v>Tabela de Valores Vale Transporte</v>
          </cell>
          <cell r="D1150" t="str">
            <v>SEM JORNADA</v>
          </cell>
          <cell r="E1150">
            <v>41699</v>
          </cell>
          <cell r="G1150" t="str">
            <v>0028</v>
          </cell>
          <cell r="H1150" t="str">
            <v>Portão-N. Hamburto(turisportão)</v>
          </cell>
          <cell r="I1150" t="str">
            <v>Valor Passagem</v>
          </cell>
          <cell r="J1150">
            <v>3.3</v>
          </cell>
        </row>
        <row r="1151">
          <cell r="A1151" t="str">
            <v>TV VALE TRANSPORTE 0029 SEM JORNADA</v>
          </cell>
          <cell r="B1151" t="str">
            <v>TV VALE TRANSPORTE</v>
          </cell>
          <cell r="C1151" t="str">
            <v>Tabela de Valores Vale Transporte</v>
          </cell>
          <cell r="D1151" t="str">
            <v>SEM JORNADA</v>
          </cell>
          <cell r="E1151">
            <v>41699</v>
          </cell>
          <cell r="G1151" t="str">
            <v>0029</v>
          </cell>
          <cell r="H1151" t="str">
            <v>Portão-Urbano</v>
          </cell>
          <cell r="I1151" t="str">
            <v>Valor Passagem</v>
          </cell>
          <cell r="J1151">
            <v>2.2</v>
          </cell>
        </row>
        <row r="1152">
          <cell r="A1152" t="str">
            <v>TV VALE TRANSPORTE 0030 SEM JORNADA</v>
          </cell>
          <cell r="B1152" t="str">
            <v>TV VALE TRANSPORTE</v>
          </cell>
          <cell r="C1152" t="str">
            <v>Tabela de Valores Vale Transporte</v>
          </cell>
          <cell r="D1152" t="str">
            <v>SEM JORNADA</v>
          </cell>
          <cell r="E1152">
            <v>41699</v>
          </cell>
          <cell r="G1152" t="str">
            <v>0030</v>
          </cell>
          <cell r="H1152" t="str">
            <v>S. Sebastião Caí-Sharlau(Exp. Caiense)</v>
          </cell>
          <cell r="I1152" t="str">
            <v>Valor Passagem</v>
          </cell>
          <cell r="J1152">
            <v>4.15</v>
          </cell>
        </row>
        <row r="1153">
          <cell r="A1153" t="str">
            <v>TV VALE TRANSPORTE 0031 SEM JORNADA</v>
          </cell>
          <cell r="B1153" t="str">
            <v>TV VALE TRANSPORTE</v>
          </cell>
          <cell r="C1153" t="str">
            <v>Tabela de Valores Vale Transporte</v>
          </cell>
          <cell r="D1153" t="str">
            <v>SEM JORNADA</v>
          </cell>
          <cell r="E1153">
            <v>41699</v>
          </cell>
          <cell r="G1153" t="str">
            <v>0031</v>
          </cell>
          <cell r="H1153" t="str">
            <v>P.Alegre-Cachoeirinha-Transcal</v>
          </cell>
          <cell r="I1153" t="str">
            <v>Valor Passagem</v>
          </cell>
          <cell r="J1153">
            <v>3.8</v>
          </cell>
        </row>
        <row r="1154">
          <cell r="A1154" t="str">
            <v>TV VALE TRANSPORTE 0032 SEM JORNADA</v>
          </cell>
          <cell r="B1154" t="str">
            <v>TV VALE TRANSPORTE</v>
          </cell>
          <cell r="C1154" t="str">
            <v>Tabela de Valores Vale Transporte</v>
          </cell>
          <cell r="D1154" t="str">
            <v>SEM JORNADA</v>
          </cell>
          <cell r="E1154">
            <v>41699</v>
          </cell>
          <cell r="G1154" t="str">
            <v>0032</v>
          </cell>
          <cell r="H1154" t="str">
            <v>Alegrete-Urbano</v>
          </cell>
          <cell r="I1154" t="str">
            <v>Valor Passagem</v>
          </cell>
          <cell r="J1154">
            <v>1.8</v>
          </cell>
        </row>
        <row r="1155">
          <cell r="A1155" t="str">
            <v>TV VALE TRANSPORTE 0033 SEM JORNADA</v>
          </cell>
          <cell r="B1155" t="str">
            <v>TV VALE TRANSPORTE</v>
          </cell>
          <cell r="C1155" t="str">
            <v>Tabela de Valores Vale Transporte</v>
          </cell>
          <cell r="D1155" t="str">
            <v>SEM JORNADA</v>
          </cell>
          <cell r="E1155">
            <v>41699</v>
          </cell>
          <cell r="G1155" t="str">
            <v>0033</v>
          </cell>
          <cell r="H1155" t="str">
            <v>Cruz Alta-Urbano</v>
          </cell>
          <cell r="I1155" t="str">
            <v>Valor Passagem</v>
          </cell>
          <cell r="J1155">
            <v>2.05</v>
          </cell>
        </row>
        <row r="1156">
          <cell r="A1156" t="str">
            <v>TV VALE TRANSPORTE 0034 SEM JORNADA</v>
          </cell>
          <cell r="B1156" t="str">
            <v>TV VALE TRANSPORTE</v>
          </cell>
          <cell r="C1156" t="str">
            <v>Tabela de Valores Vale Transporte</v>
          </cell>
          <cell r="D1156" t="str">
            <v>SEM JORNADA</v>
          </cell>
          <cell r="E1156">
            <v>41699</v>
          </cell>
          <cell r="G1156" t="str">
            <v>0034</v>
          </cell>
          <cell r="H1156" t="str">
            <v>Ijuí-Urbano</v>
          </cell>
          <cell r="I1156" t="str">
            <v>Valor Passagem</v>
          </cell>
          <cell r="J1156">
            <v>1.9</v>
          </cell>
        </row>
        <row r="1157">
          <cell r="A1157" t="str">
            <v>TV VALE TRANSPORTE 0035 SEM JORNADA</v>
          </cell>
          <cell r="B1157" t="str">
            <v>TV VALE TRANSPORTE</v>
          </cell>
          <cell r="C1157" t="str">
            <v>Tabela de Valores Vale Transporte</v>
          </cell>
          <cell r="D1157" t="str">
            <v>SEM JORNADA</v>
          </cell>
          <cell r="E1157">
            <v>41699</v>
          </cell>
          <cell r="G1157" t="str">
            <v>0035</v>
          </cell>
          <cell r="H1157" t="str">
            <v>Lajeado-Urbano</v>
          </cell>
          <cell r="I1157" t="str">
            <v>Valor Passagem</v>
          </cell>
          <cell r="J1157">
            <v>2.4</v>
          </cell>
        </row>
        <row r="1158">
          <cell r="A1158" t="str">
            <v>TV VALE TRANSPORTE 0036 SEM JORNADA</v>
          </cell>
          <cell r="B1158" t="str">
            <v>TV VALE TRANSPORTE</v>
          </cell>
          <cell r="C1158" t="str">
            <v>Tabela de Valores Vale Transporte</v>
          </cell>
          <cell r="D1158" t="str">
            <v>SEM JORNADA</v>
          </cell>
          <cell r="E1158">
            <v>41699</v>
          </cell>
          <cell r="G1158" t="str">
            <v>0036</v>
          </cell>
          <cell r="H1158" t="str">
            <v>Rio Grande-Urbano</v>
          </cell>
          <cell r="I1158" t="str">
            <v>Valor Passagem</v>
          </cell>
          <cell r="J1158">
            <v>2.25</v>
          </cell>
        </row>
        <row r="1159">
          <cell r="A1159" t="str">
            <v>TV VALE TRANSPORTE 0037 SEM JORNADA</v>
          </cell>
          <cell r="B1159" t="str">
            <v>TV VALE TRANSPORTE</v>
          </cell>
          <cell r="C1159" t="str">
            <v>Tabela de Valores Vale Transporte</v>
          </cell>
          <cell r="D1159" t="str">
            <v>SEM JORNADA</v>
          </cell>
          <cell r="E1159">
            <v>41699</v>
          </cell>
          <cell r="G1159" t="str">
            <v>0037</v>
          </cell>
          <cell r="H1159" t="str">
            <v>Santa Cruz-Urbano.</v>
          </cell>
          <cell r="I1159" t="str">
            <v>Valor Passagem</v>
          </cell>
          <cell r="J1159">
            <v>2.55</v>
          </cell>
        </row>
        <row r="1160">
          <cell r="A1160" t="str">
            <v>TV VALE TRANSPORTE 0038 SEM JORNADA</v>
          </cell>
          <cell r="B1160" t="str">
            <v>TV VALE TRANSPORTE</v>
          </cell>
          <cell r="C1160" t="str">
            <v>Tabela de Valores Vale Transporte</v>
          </cell>
          <cell r="D1160" t="str">
            <v>SEM JORNADA</v>
          </cell>
          <cell r="E1160">
            <v>41699</v>
          </cell>
          <cell r="G1160" t="str">
            <v>0038</v>
          </cell>
          <cell r="H1160" t="str">
            <v>Santana do Livramento-Urbano</v>
          </cell>
          <cell r="I1160" t="str">
            <v>Valor Passagem</v>
          </cell>
          <cell r="J1160">
            <v>2</v>
          </cell>
        </row>
        <row r="1161">
          <cell r="A1161" t="str">
            <v>TV VALE TRANSPORTE 0039 SEM JORNADA</v>
          </cell>
          <cell r="B1161" t="str">
            <v>TV VALE TRANSPORTE</v>
          </cell>
          <cell r="C1161" t="str">
            <v>Tabela de Valores Vale Transporte</v>
          </cell>
          <cell r="D1161" t="str">
            <v>SEM JORNADA</v>
          </cell>
          <cell r="E1161">
            <v>41699</v>
          </cell>
          <cell r="G1161" t="str">
            <v>0039</v>
          </cell>
          <cell r="H1161" t="str">
            <v>Uruguaiana-Urbano</v>
          </cell>
          <cell r="I1161" t="str">
            <v>Valor Passagem</v>
          </cell>
          <cell r="J1161">
            <v>2</v>
          </cell>
        </row>
        <row r="1162">
          <cell r="A1162" t="str">
            <v>TV VALE TRANSPORTE 0040 SEM JORNADA</v>
          </cell>
          <cell r="B1162" t="str">
            <v>TV VALE TRANSPORTE</v>
          </cell>
          <cell r="C1162" t="str">
            <v>Tabela de Valores Vale Transporte</v>
          </cell>
          <cell r="D1162" t="str">
            <v>SEM JORNADA</v>
          </cell>
          <cell r="E1162">
            <v>41699</v>
          </cell>
          <cell r="G1162" t="str">
            <v>0040</v>
          </cell>
          <cell r="H1162" t="str">
            <v>Tramandaí-Rei do Peixe (E907)</v>
          </cell>
          <cell r="I1162" t="str">
            <v>Valor Passagem</v>
          </cell>
          <cell r="J1162">
            <v>2.6</v>
          </cell>
        </row>
        <row r="1163">
          <cell r="A1163" t="str">
            <v>TV VALE TRANSPORTE 0041 SEM JORNADA</v>
          </cell>
          <cell r="B1163" t="str">
            <v>TV VALE TRANSPORTE</v>
          </cell>
          <cell r="C1163" t="str">
            <v>Tabela de Valores Vale Transporte</v>
          </cell>
          <cell r="D1163" t="str">
            <v>SEM JORNADA</v>
          </cell>
          <cell r="E1163">
            <v>41699</v>
          </cell>
          <cell r="G1163" t="str">
            <v>0041</v>
          </cell>
          <cell r="H1163" t="str">
            <v>Encantado-Urbano</v>
          </cell>
          <cell r="I1163" t="str">
            <v>Valor Passagem</v>
          </cell>
          <cell r="J1163">
            <v>2.1</v>
          </cell>
        </row>
        <row r="1164">
          <cell r="A1164" t="str">
            <v>TV VALE TRANSPORTE 0042 SEM JORNADA</v>
          </cell>
          <cell r="B1164" t="str">
            <v>TV VALE TRANSPORTE</v>
          </cell>
          <cell r="C1164" t="str">
            <v>Tabela de Valores Vale Transporte</v>
          </cell>
          <cell r="D1164" t="str">
            <v>SEM JORNADA</v>
          </cell>
          <cell r="E1164">
            <v>41699</v>
          </cell>
          <cell r="G1164" t="str">
            <v>0042</v>
          </cell>
          <cell r="H1164" t="str">
            <v>Jacutinga-Erechim</v>
          </cell>
          <cell r="I1164" t="str">
            <v>Valor Passagem</v>
          </cell>
          <cell r="J1164">
            <v>4.3</v>
          </cell>
        </row>
        <row r="1165">
          <cell r="A1165" t="str">
            <v>TV VALE TRANSPORTE 0043 SEM JORNADA</v>
          </cell>
          <cell r="B1165" t="str">
            <v>TV VALE TRANSPORTE</v>
          </cell>
          <cell r="C1165" t="str">
            <v>Tabela de Valores Vale Transporte</v>
          </cell>
          <cell r="D1165" t="str">
            <v>SEM JORNADA</v>
          </cell>
          <cell r="E1165">
            <v>41699</v>
          </cell>
          <cell r="G1165" t="str">
            <v>0043</v>
          </cell>
          <cell r="H1165" t="str">
            <v>Erechim-Urbano</v>
          </cell>
          <cell r="I1165" t="str">
            <v>Valor Passagem</v>
          </cell>
          <cell r="J1165">
            <v>1.65</v>
          </cell>
        </row>
        <row r="1166">
          <cell r="A1166" t="str">
            <v>TV VALE TRANSPORTE 0044 SEM JORNADA</v>
          </cell>
          <cell r="B1166" t="str">
            <v>TV VALE TRANSPORTE</v>
          </cell>
          <cell r="C1166" t="str">
            <v>Tabela de Valores Vale Transporte</v>
          </cell>
          <cell r="D1166" t="str">
            <v>SEM JORNADA</v>
          </cell>
          <cell r="E1166">
            <v>41699</v>
          </cell>
          <cell r="G1166" t="str">
            <v>0044</v>
          </cell>
          <cell r="H1166" t="str">
            <v>Ibirubá-Van</v>
          </cell>
          <cell r="I1166" t="str">
            <v>Valor Passagem</v>
          </cell>
          <cell r="J1166">
            <v>4.65</v>
          </cell>
        </row>
        <row r="1167">
          <cell r="A1167" t="str">
            <v>TV VALE TRANSPORTE 0045 SEM JORNADA</v>
          </cell>
          <cell r="B1167" t="str">
            <v>TV VALE TRANSPORTE</v>
          </cell>
          <cell r="C1167" t="str">
            <v>Tabela de Valores Vale Transporte</v>
          </cell>
          <cell r="D1167" t="str">
            <v>SEM JORNADA</v>
          </cell>
          <cell r="E1167">
            <v>41699</v>
          </cell>
          <cell r="G1167" t="str">
            <v>0045</v>
          </cell>
          <cell r="H1167" t="str">
            <v>Sapiranga-Urbano</v>
          </cell>
          <cell r="I1167" t="str">
            <v>Valor Passagem</v>
          </cell>
          <cell r="J1167">
            <v>1.5</v>
          </cell>
        </row>
        <row r="1168">
          <cell r="A1168" t="str">
            <v>TV VALE TRANSPORTE 0046 SEM JORNADA</v>
          </cell>
          <cell r="B1168" t="str">
            <v>TV VALE TRANSPORTE</v>
          </cell>
          <cell r="C1168" t="str">
            <v>Tabela de Valores Vale Transporte</v>
          </cell>
          <cell r="D1168" t="str">
            <v>SEM JORNADA</v>
          </cell>
          <cell r="E1168">
            <v>41699</v>
          </cell>
          <cell r="G1168" t="str">
            <v>0046</v>
          </cell>
          <cell r="H1168" t="str">
            <v>Agnes-Kaempf</v>
          </cell>
          <cell r="I1168" t="str">
            <v>Valor Passagem</v>
          </cell>
          <cell r="J1168">
            <v>1.8</v>
          </cell>
        </row>
        <row r="1169">
          <cell r="A1169" t="str">
            <v>TV VALE TRANSPORTE 0047 SEM JORNADA</v>
          </cell>
          <cell r="B1169" t="str">
            <v>TV VALE TRANSPORTE</v>
          </cell>
          <cell r="C1169" t="str">
            <v>Tabela de Valores Vale Transporte</v>
          </cell>
          <cell r="D1169" t="str">
            <v>SEM JORNADA</v>
          </cell>
          <cell r="E1169">
            <v>41699</v>
          </cell>
          <cell r="G1169" t="str">
            <v>0047</v>
          </cell>
          <cell r="H1169" t="str">
            <v>São Borja-Urbano</v>
          </cell>
          <cell r="I1169" t="str">
            <v>Valor Passagem</v>
          </cell>
          <cell r="J1169">
            <v>1.8</v>
          </cell>
        </row>
        <row r="1170">
          <cell r="A1170" t="str">
            <v>TV VALE TRANSPORTE 0048 SEM JORNADA</v>
          </cell>
          <cell r="B1170" t="str">
            <v>TV VALE TRANSPORTE</v>
          </cell>
          <cell r="C1170" t="str">
            <v>Tabela de Valores Vale Transporte</v>
          </cell>
          <cell r="D1170" t="str">
            <v>SEM JORNADA</v>
          </cell>
          <cell r="E1170">
            <v>41699</v>
          </cell>
          <cell r="G1170" t="str">
            <v>0048</v>
          </cell>
          <cell r="H1170" t="str">
            <v>São Francisco de Paula-Urbano</v>
          </cell>
          <cell r="I1170" t="str">
            <v>Valor Passagem</v>
          </cell>
          <cell r="J1170">
            <v>2.2</v>
          </cell>
        </row>
        <row r="1171">
          <cell r="A1171" t="str">
            <v>TV VALE TRANSPORTE 0049 SEM JORNADA</v>
          </cell>
          <cell r="B1171" t="str">
            <v>TV VALE TRANSPORTE</v>
          </cell>
          <cell r="C1171" t="str">
            <v>Tabela de Valores Vale Transporte</v>
          </cell>
          <cell r="D1171" t="str">
            <v>SEM JORNADA</v>
          </cell>
          <cell r="E1171">
            <v>41699</v>
          </cell>
          <cell r="G1171" t="str">
            <v>0049</v>
          </cell>
          <cell r="H1171" t="str">
            <v>Tramandaí - Urbano</v>
          </cell>
          <cell r="I1171" t="str">
            <v>Valor Passagem</v>
          </cell>
          <cell r="J1171">
            <v>2.35</v>
          </cell>
        </row>
        <row r="1172">
          <cell r="A1172" t="str">
            <v>TV VALE TRANSPORTE 0050 SEM JORNADA</v>
          </cell>
          <cell r="B1172" t="str">
            <v>TV VALE TRANSPORTE</v>
          </cell>
          <cell r="C1172" t="str">
            <v>Tabela de Valores Vale Transporte</v>
          </cell>
          <cell r="D1172" t="str">
            <v>SEM JORNADA</v>
          </cell>
          <cell r="E1172">
            <v>41699</v>
          </cell>
          <cell r="G1172" t="str">
            <v>0050</v>
          </cell>
          <cell r="H1172" t="str">
            <v>Bento Gonçalves-Urbano</v>
          </cell>
          <cell r="I1172" t="str">
            <v>Valor Passagem</v>
          </cell>
          <cell r="J1172">
            <v>1.95</v>
          </cell>
        </row>
        <row r="1173">
          <cell r="A1173" t="str">
            <v>TV VALE TRANSPORTE 0051 SEM JORNADA</v>
          </cell>
          <cell r="B1173" t="str">
            <v>TV VALE TRANSPORTE</v>
          </cell>
          <cell r="C1173" t="str">
            <v>Tabela de Valores Vale Transporte</v>
          </cell>
          <cell r="D1173" t="str">
            <v>SEM JORNADA</v>
          </cell>
          <cell r="E1173">
            <v>41699</v>
          </cell>
          <cell r="G1173" t="str">
            <v>0051</v>
          </cell>
          <cell r="H1173" t="str">
            <v>Cachoeira Sul - Urbano</v>
          </cell>
          <cell r="I1173" t="str">
            <v>Valor Passagem</v>
          </cell>
          <cell r="J1173">
            <v>2.4</v>
          </cell>
        </row>
        <row r="1174">
          <cell r="A1174" t="str">
            <v>TV VALE TRANSPORTE 0052 SEM JORNADA</v>
          </cell>
          <cell r="B1174" t="str">
            <v>TV VALE TRANSPORTE</v>
          </cell>
          <cell r="C1174" t="str">
            <v>Tabela de Valores Vale Transporte</v>
          </cell>
          <cell r="D1174" t="str">
            <v>SEM JORNADA</v>
          </cell>
          <cell r="E1174">
            <v>41699</v>
          </cell>
          <cell r="G1174" t="str">
            <v>0052</v>
          </cell>
          <cell r="H1174" t="str">
            <v>Farroupilha-Urbano</v>
          </cell>
          <cell r="I1174" t="str">
            <v>Valor Passagem</v>
          </cell>
          <cell r="J1174">
            <v>2.85</v>
          </cell>
        </row>
        <row r="1175">
          <cell r="A1175" t="str">
            <v>TV VALE TRANSPORTE 0053 SEM JORNADA</v>
          </cell>
          <cell r="B1175" t="str">
            <v>TV VALE TRANSPORTE</v>
          </cell>
          <cell r="C1175" t="str">
            <v>Tabela de Valores Vale Transporte</v>
          </cell>
          <cell r="D1175" t="str">
            <v>SEM JORNADA</v>
          </cell>
          <cell r="E1175">
            <v>41699</v>
          </cell>
          <cell r="G1175" t="str">
            <v>0053</v>
          </cell>
          <cell r="H1175" t="str">
            <v>São Marcos-Urbano</v>
          </cell>
          <cell r="I1175" t="str">
            <v>Valor Passagem</v>
          </cell>
          <cell r="J1175">
            <v>1.65</v>
          </cell>
        </row>
        <row r="1176">
          <cell r="A1176" t="str">
            <v>TV VALE TRANSPORTE 0054 SEM JORNADA</v>
          </cell>
          <cell r="B1176" t="str">
            <v>TV VALE TRANSPORTE</v>
          </cell>
          <cell r="C1176" t="str">
            <v>Tabela de Valores Vale Transporte</v>
          </cell>
          <cell r="D1176" t="str">
            <v>SEM JORNADA</v>
          </cell>
          <cell r="E1176">
            <v>41699</v>
          </cell>
          <cell r="G1176" t="str">
            <v>0054</v>
          </cell>
          <cell r="H1176" t="str">
            <v>São Francisco de Paula - HAMPEL</v>
          </cell>
          <cell r="I1176" t="str">
            <v>Valor Passagem</v>
          </cell>
          <cell r="J1176">
            <v>3.45</v>
          </cell>
        </row>
        <row r="1177">
          <cell r="A1177" t="str">
            <v>TV VALE TRANSPORTE 0055 SEM JORNADA</v>
          </cell>
          <cell r="B1177" t="str">
            <v>TV VALE TRANSPORTE</v>
          </cell>
          <cell r="C1177" t="str">
            <v>Tabela de Valores Vale Transporte</v>
          </cell>
          <cell r="D1177" t="str">
            <v>SEM JORNADA</v>
          </cell>
          <cell r="E1177">
            <v>41699</v>
          </cell>
          <cell r="G1177" t="str">
            <v>0055</v>
          </cell>
          <cell r="H1177" t="str">
            <v>Caxias - Linha Faz Souza</v>
          </cell>
          <cell r="I1177" t="str">
            <v>Valor Passagem</v>
          </cell>
          <cell r="J1177">
            <v>3.59</v>
          </cell>
        </row>
        <row r="1178">
          <cell r="A1178" t="str">
            <v>TV VALE TRANSPORTE 0056 SEM JORNADA</v>
          </cell>
          <cell r="B1178" t="str">
            <v>TV VALE TRANSPORTE</v>
          </cell>
          <cell r="C1178" t="str">
            <v>Tabela de Valores Vale Transporte</v>
          </cell>
          <cell r="D1178" t="str">
            <v>SEM JORNADA</v>
          </cell>
          <cell r="E1178">
            <v>41699</v>
          </cell>
          <cell r="G1178" t="str">
            <v>0056</v>
          </cell>
          <cell r="H1178" t="str">
            <v>Itati-Osório-Linha 330 Comum</v>
          </cell>
          <cell r="I1178" t="str">
            <v>Valor Passagem</v>
          </cell>
          <cell r="J1178">
            <v>11.05</v>
          </cell>
        </row>
        <row r="1179">
          <cell r="A1179" t="str">
            <v>TV VALE TRANSPORTE 0057 SEM JORNADA</v>
          </cell>
          <cell r="B1179" t="str">
            <v>TV VALE TRANSPORTE</v>
          </cell>
          <cell r="C1179" t="str">
            <v>Tabela de Valores Vale Transporte</v>
          </cell>
          <cell r="D1179" t="str">
            <v>SEM JORNADA</v>
          </cell>
          <cell r="E1179">
            <v>41699</v>
          </cell>
          <cell r="G1179" t="str">
            <v>0057</v>
          </cell>
          <cell r="H1179" t="str">
            <v>Iraí-Caibi SC- Reunidas S/A</v>
          </cell>
          <cell r="I1179" t="str">
            <v>Valor Passagem</v>
          </cell>
          <cell r="J1179">
            <v>4.51</v>
          </cell>
        </row>
        <row r="1180">
          <cell r="A1180" t="str">
            <v>TV VALE TRANSPORTE 0058 SEM JORNADA</v>
          </cell>
          <cell r="B1180" t="str">
            <v>TV VALE TRANSPORTE</v>
          </cell>
          <cell r="C1180" t="str">
            <v>Tabela de Valores Vale Transporte</v>
          </cell>
          <cell r="D1180" t="str">
            <v>SEM JORNADA</v>
          </cell>
          <cell r="E1180">
            <v>41699</v>
          </cell>
          <cell r="G1180" t="str">
            <v>0058</v>
          </cell>
          <cell r="H1180" t="str">
            <v>Tramandaí-Osório - Unesul</v>
          </cell>
          <cell r="I1180" t="str">
            <v>Valor Passagem</v>
          </cell>
          <cell r="J1180">
            <v>3.1</v>
          </cell>
        </row>
        <row r="1181">
          <cell r="A1181" t="str">
            <v>TV VALE TRANSPORTE 0059 SEM JORNADA</v>
          </cell>
          <cell r="B1181" t="str">
            <v>TV VALE TRANSPORTE</v>
          </cell>
          <cell r="C1181" t="str">
            <v>Tabela de Valores Vale Transporte</v>
          </cell>
          <cell r="D1181" t="str">
            <v>SEM JORNADA</v>
          </cell>
          <cell r="E1181">
            <v>41699</v>
          </cell>
          <cell r="G1181" t="str">
            <v>0059</v>
          </cell>
          <cell r="H1181" t="str">
            <v>Taquara/N.Hamburgo - Citral</v>
          </cell>
          <cell r="I1181" t="str">
            <v>Valor Passagem</v>
          </cell>
          <cell r="J1181">
            <v>9.55</v>
          </cell>
        </row>
        <row r="1182">
          <cell r="A1182" t="str">
            <v>TV VALE TRANSPORTE 0060 SEM JORNADA</v>
          </cell>
          <cell r="B1182" t="str">
            <v>TV VALE TRANSPORTE</v>
          </cell>
          <cell r="C1182" t="str">
            <v>Tabela de Valores Vale Transporte</v>
          </cell>
          <cell r="D1182" t="str">
            <v>SEM JORNADA</v>
          </cell>
          <cell r="E1182">
            <v>41699</v>
          </cell>
          <cell r="G1182" t="str">
            <v>0060</v>
          </cell>
          <cell r="H1182" t="str">
            <v>Taquara/S.Francisco de Paula(Citral)</v>
          </cell>
          <cell r="I1182" t="str">
            <v>Valor Passagem</v>
          </cell>
          <cell r="J1182">
            <v>8.7</v>
          </cell>
        </row>
        <row r="1183">
          <cell r="A1183" t="str">
            <v>TV VALE TRANSPORTE 0061 SEM JORNADA</v>
          </cell>
          <cell r="B1183" t="str">
            <v>TV VALE TRANSPORTE</v>
          </cell>
          <cell r="C1183" t="str">
            <v>Tabela de Valores Vale Transporte</v>
          </cell>
          <cell r="D1183" t="str">
            <v>SEM JORNADA</v>
          </cell>
          <cell r="E1183">
            <v>41699</v>
          </cell>
          <cell r="G1183" t="str">
            <v>0061</v>
          </cell>
          <cell r="H1183" t="str">
            <v>Sto Antonio Patrulha/POA-Semi Direto / Unesul</v>
          </cell>
          <cell r="I1183" t="str">
            <v>Valor Passagem</v>
          </cell>
          <cell r="J1183">
            <v>14.7</v>
          </cell>
        </row>
        <row r="1184">
          <cell r="A1184" t="str">
            <v>TV VALE TRANSPORTE 0062 SEM JORNADA</v>
          </cell>
          <cell r="B1184" t="str">
            <v>TV VALE TRANSPORTE</v>
          </cell>
          <cell r="C1184" t="str">
            <v>Tabela de Valores Vale Transporte</v>
          </cell>
          <cell r="D1184" t="str">
            <v>SEM JORNADA</v>
          </cell>
          <cell r="E1184">
            <v>41699</v>
          </cell>
          <cell r="G1184" t="str">
            <v>0062</v>
          </cell>
          <cell r="H1184" t="str">
            <v>São Francisco de Paula/Gramado-CITRAL</v>
          </cell>
          <cell r="I1184" t="str">
            <v>Valor Passagem</v>
          </cell>
          <cell r="J1184">
            <v>8.45</v>
          </cell>
        </row>
        <row r="1185">
          <cell r="A1185" t="str">
            <v>TV VALE TRANSPORTE 0063 SEM JORNADA</v>
          </cell>
          <cell r="B1185" t="str">
            <v>TV VALE TRANSPORTE</v>
          </cell>
          <cell r="C1185" t="str">
            <v>Tabela de Valores Vale Transporte</v>
          </cell>
          <cell r="D1185" t="str">
            <v>SEM JORNADA</v>
          </cell>
          <cell r="E1185">
            <v>41699</v>
          </cell>
          <cell r="G1185" t="str">
            <v>0063</v>
          </cell>
          <cell r="H1185" t="str">
            <v>Sapiranga Circular-Bairro Amaral-Empresa Citral</v>
          </cell>
          <cell r="I1185" t="str">
            <v>Valor Passagem</v>
          </cell>
          <cell r="J1185">
            <v>1.9</v>
          </cell>
        </row>
        <row r="1186">
          <cell r="A1186" t="str">
            <v>TV VALE TRANSPORTE 0064 SEM JORNADA</v>
          </cell>
          <cell r="B1186" t="str">
            <v>TV VALE TRANSPORTE</v>
          </cell>
          <cell r="C1186" t="str">
            <v>Tabela de Valores Vale Transporte</v>
          </cell>
          <cell r="D1186" t="str">
            <v>SEM JORNADA</v>
          </cell>
          <cell r="E1186">
            <v>41699</v>
          </cell>
          <cell r="G1186" t="str">
            <v>0064</v>
          </cell>
          <cell r="H1186" t="str">
            <v>Tape - São Lourenço do Sul/Camaquã</v>
          </cell>
          <cell r="I1186" t="str">
            <v>Valor Passagem</v>
          </cell>
          <cell r="J1186">
            <v>9.75</v>
          </cell>
        </row>
        <row r="1187">
          <cell r="A1187" t="str">
            <v>TV VALE TRANSPORTE 0065 SEM JORNADA</v>
          </cell>
          <cell r="B1187" t="str">
            <v>TV VALE TRANSPORTE</v>
          </cell>
          <cell r="C1187" t="str">
            <v>Tabela de Valores Vale Transporte</v>
          </cell>
          <cell r="D1187" t="str">
            <v>SEM JORNADA</v>
          </cell>
          <cell r="E1187">
            <v>41699</v>
          </cell>
          <cell r="G1187" t="str">
            <v>0065</v>
          </cell>
          <cell r="H1187" t="str">
            <v>Feliz-Novo Hamburgo (Expr. Nova Palmira de Transp. Ltda.)</v>
          </cell>
          <cell r="I1187" t="str">
            <v>Valor Passagem</v>
          </cell>
          <cell r="J1187">
            <v>6.9</v>
          </cell>
        </row>
        <row r="1188">
          <cell r="A1188" t="str">
            <v>TV VALE TRANSPORTE 0066 SEM JORNADA</v>
          </cell>
          <cell r="B1188" t="str">
            <v>TV VALE TRANSPORTE</v>
          </cell>
          <cell r="C1188" t="str">
            <v>Tabela de Valores Vale Transporte</v>
          </cell>
          <cell r="D1188" t="str">
            <v>SEM JORNADA</v>
          </cell>
          <cell r="E1188">
            <v>41699</v>
          </cell>
          <cell r="G1188" t="str">
            <v>0066</v>
          </cell>
          <cell r="H1188" t="str">
            <v>São Sebastião Caí-Novo Hamburgo (Expr. Nova Palmira de Transp. Ltda</v>
          </cell>
          <cell r="I1188" t="str">
            <v>Valor Passagem</v>
          </cell>
          <cell r="J1188">
            <v>5.4</v>
          </cell>
        </row>
        <row r="1189">
          <cell r="A1189" t="str">
            <v>TV VALE TRANSPORTE 0067 SEM JORNADA</v>
          </cell>
          <cell r="B1189" t="str">
            <v>TV VALE TRANSPORTE</v>
          </cell>
          <cell r="C1189" t="str">
            <v>Tabela de Valores Vale Transporte</v>
          </cell>
          <cell r="D1189" t="str">
            <v>SEM JORNADA</v>
          </cell>
          <cell r="E1189">
            <v>41699</v>
          </cell>
          <cell r="G1189" t="str">
            <v>0067</v>
          </cell>
          <cell r="H1189" t="str">
            <v>Igrejinha-Porto Alegre (Citral)</v>
          </cell>
          <cell r="I1189" t="str">
            <v>Valor Passagem</v>
          </cell>
          <cell r="J1189">
            <v>13.8</v>
          </cell>
        </row>
        <row r="1190">
          <cell r="A1190" t="str">
            <v>TV VALE TRANSPORTE 0068 SEM JORNADA</v>
          </cell>
          <cell r="B1190" t="str">
            <v>TV VALE TRANSPORTE</v>
          </cell>
          <cell r="C1190" t="str">
            <v>Tabela de Valores Vale Transporte</v>
          </cell>
          <cell r="D1190" t="str">
            <v>SEM JORNADA</v>
          </cell>
          <cell r="E1190">
            <v>41699</v>
          </cell>
          <cell r="G1190" t="str">
            <v>0068</v>
          </cell>
          <cell r="H1190" t="str">
            <v>Igrejinha/Novo Hamburgo ¿ Citral</v>
          </cell>
          <cell r="I1190" t="str">
            <v>Valor Passagem</v>
          </cell>
          <cell r="J1190">
            <v>16.05</v>
          </cell>
        </row>
        <row r="1191">
          <cell r="A1191" t="str">
            <v>TV VALE TRANSPORTE 0069 SEM JORNADA</v>
          </cell>
          <cell r="B1191" t="str">
            <v>TV VALE TRANSPORTE</v>
          </cell>
          <cell r="C1191" t="str">
            <v>Tabela de Valores Vale Transporte</v>
          </cell>
          <cell r="D1191" t="str">
            <v>SEM JORNADA</v>
          </cell>
          <cell r="E1191">
            <v>41699</v>
          </cell>
          <cell r="G1191" t="str">
            <v>0069</v>
          </cell>
          <cell r="H1191" t="str">
            <v>POA / Aguas Claras  - Salinas</v>
          </cell>
          <cell r="I1191" t="str">
            <v>Valor Passagem</v>
          </cell>
          <cell r="J1191">
            <v>7.6</v>
          </cell>
        </row>
        <row r="1192">
          <cell r="A1192" t="str">
            <v>TV VALE TRANSPORTE 0070 SEM JORNADA</v>
          </cell>
          <cell r="B1192" t="str">
            <v>TV VALE TRANSPORTE</v>
          </cell>
          <cell r="C1192" t="str">
            <v>Tabela de Valores Vale Transporte</v>
          </cell>
          <cell r="D1192" t="str">
            <v>SEM JORNADA</v>
          </cell>
          <cell r="E1192">
            <v>41699</v>
          </cell>
          <cell r="G1192" t="str">
            <v>0070</v>
          </cell>
          <cell r="H1192" t="str">
            <v>Bento Gonçalves/Garibaldi (Empresa Bento Transp.)</v>
          </cell>
          <cell r="I1192" t="str">
            <v>Valor Passagem</v>
          </cell>
          <cell r="J1192">
            <v>3.25</v>
          </cell>
        </row>
        <row r="1193">
          <cell r="A1193" t="str">
            <v>TV VALE TRANSPORTE 0071 SEM JORNADA</v>
          </cell>
          <cell r="B1193" t="str">
            <v>TV VALE TRANSPORTE</v>
          </cell>
          <cell r="C1193" t="str">
            <v>Tabela de Valores Vale Transporte</v>
          </cell>
          <cell r="D1193" t="str">
            <v>SEM JORNADA</v>
          </cell>
          <cell r="E1193">
            <v>41699</v>
          </cell>
          <cell r="G1193" t="str">
            <v>0071</v>
          </cell>
          <cell r="H1193" t="str">
            <v>Osório/Palmares do Sul (Empresa Expresso Palmares)</v>
          </cell>
          <cell r="I1193" t="str">
            <v>Valor Passagem</v>
          </cell>
          <cell r="J1193">
            <v>8.6</v>
          </cell>
        </row>
        <row r="1194">
          <cell r="A1194" t="str">
            <v>TV VALE TRANSPORTE 0072 SEM JORNADA</v>
          </cell>
          <cell r="B1194" t="str">
            <v>TV VALE TRANSPORTE</v>
          </cell>
          <cell r="C1194" t="str">
            <v>Tabela de Valores Vale Transporte</v>
          </cell>
          <cell r="D1194" t="str">
            <v>SEM JORNADA</v>
          </cell>
          <cell r="E1194">
            <v>41699</v>
          </cell>
          <cell r="G1194" t="str">
            <v>0072</v>
          </cell>
          <cell r="H1194" t="str">
            <v>Santa Cruz do Sul/Cachoeira do Sul (Viação Santa Cruz)</v>
          </cell>
          <cell r="I1194" t="str">
            <v>Valor Passagem</v>
          </cell>
          <cell r="J1194">
            <v>7.5</v>
          </cell>
        </row>
        <row r="1195">
          <cell r="A1195" t="str">
            <v>TV VALE TRANSPORTE 0073 SEM JORNADA</v>
          </cell>
          <cell r="B1195" t="str">
            <v>TV VALE TRANSPORTE</v>
          </cell>
          <cell r="C1195" t="str">
            <v>Tabela de Valores Vale Transporte</v>
          </cell>
          <cell r="D1195" t="str">
            <v>SEM JORNADA</v>
          </cell>
          <cell r="E1195">
            <v>41699</v>
          </cell>
          <cell r="G1195" t="str">
            <v>0073</v>
          </cell>
          <cell r="H1195" t="str">
            <v>Santa  Cruz do Sul/Taquari (empresa Transp. TC Catedral)</v>
          </cell>
          <cell r="I1195" t="str">
            <v>Valor Passagem</v>
          </cell>
          <cell r="J1195">
            <v>2.55</v>
          </cell>
        </row>
        <row r="1196">
          <cell r="A1196" t="str">
            <v>TV VALE TRANSPORTE 0074 SEM JORNADA</v>
          </cell>
          <cell r="B1196" t="str">
            <v>TV VALE TRANSPORTE</v>
          </cell>
          <cell r="C1196" t="str">
            <v>Tabela de Valores Vale Transporte</v>
          </cell>
          <cell r="D1196" t="str">
            <v>SEM JORNADA</v>
          </cell>
          <cell r="E1196">
            <v>41699</v>
          </cell>
          <cell r="G1196" t="str">
            <v>0074</v>
          </cell>
          <cell r="H1196" t="str">
            <v>Gravataí/Taquara (Citral)</v>
          </cell>
          <cell r="I1196" t="str">
            <v>Valor Passagem</v>
          </cell>
          <cell r="J1196">
            <v>5</v>
          </cell>
        </row>
        <row r="1197">
          <cell r="A1197" t="str">
            <v>TV VALE TRANSPORTE 0075 SEM JORNADA</v>
          </cell>
          <cell r="B1197" t="str">
            <v>TV VALE TRANSPORTE</v>
          </cell>
          <cell r="C1197" t="str">
            <v>Tabela de Valores Vale Transporte</v>
          </cell>
          <cell r="D1197" t="str">
            <v>SEM JORNADA</v>
          </cell>
          <cell r="E1197">
            <v>41699</v>
          </cell>
          <cell r="G1197" t="str">
            <v>0075</v>
          </cell>
          <cell r="H1197" t="str">
            <v>Taquara/Gravataí (Citral)</v>
          </cell>
          <cell r="I1197" t="str">
            <v>Valor Passagem</v>
          </cell>
          <cell r="J1197">
            <v>5.8</v>
          </cell>
        </row>
        <row r="1198">
          <cell r="A1198" t="str">
            <v>TV VALE TRANSPORTE 0076 SEM JORNADA</v>
          </cell>
          <cell r="B1198" t="str">
            <v>TV VALE TRANSPORTE</v>
          </cell>
          <cell r="C1198" t="str">
            <v>Tabela de Valores Vale Transporte</v>
          </cell>
          <cell r="D1198" t="str">
            <v>SEM JORNADA</v>
          </cell>
          <cell r="E1198">
            <v>41699</v>
          </cell>
          <cell r="G1198" t="str">
            <v>0076</v>
          </cell>
          <cell r="H1198" t="str">
            <v>Nova Petropolis/Canela(CITRAL S.A.)</v>
          </cell>
          <cell r="I1198" t="str">
            <v>Valor Passagem</v>
          </cell>
          <cell r="J1198">
            <v>6.95</v>
          </cell>
        </row>
        <row r="1199">
          <cell r="A1199" t="str">
            <v>TV VALE TRANSPORTE 0077 SEM JORNADA</v>
          </cell>
          <cell r="B1199" t="str">
            <v>TV VALE TRANSPORTE</v>
          </cell>
          <cell r="C1199" t="str">
            <v>Tabela de Valores Vale Transporte</v>
          </cell>
          <cell r="D1199" t="str">
            <v>SEM JORNADA</v>
          </cell>
          <cell r="E1199">
            <v>41699</v>
          </cell>
          <cell r="G1199" t="str">
            <v>0077</v>
          </cell>
          <cell r="H1199" t="str">
            <v>Santa Rosa/Três de Maio (Empresa Sul Serra)</v>
          </cell>
          <cell r="I1199" t="str">
            <v>Valor Passagem</v>
          </cell>
          <cell r="J1199">
            <v>5.45</v>
          </cell>
        </row>
        <row r="1200">
          <cell r="A1200" t="str">
            <v>TV VALE TRANSPORTE 0114 SEM JORNADA</v>
          </cell>
          <cell r="B1200" t="str">
            <v>TV VALE TRANSPORTE</v>
          </cell>
          <cell r="C1200" t="str">
            <v>Tabela de Valores Vale Transporte</v>
          </cell>
          <cell r="D1200" t="str">
            <v>SEM JORNADA</v>
          </cell>
          <cell r="E1200">
            <v>41699</v>
          </cell>
          <cell r="G1200" t="str">
            <v>0114</v>
          </cell>
          <cell r="H1200" t="str">
            <v>Estancia Grande</v>
          </cell>
          <cell r="I1200" t="str">
            <v>Valor Passagem</v>
          </cell>
          <cell r="J1200">
            <v>3.4</v>
          </cell>
        </row>
        <row r="1201">
          <cell r="A1201" t="str">
            <v>TV VALE TRANSPORTE 0132 SEM JORNADA</v>
          </cell>
          <cell r="B1201" t="str">
            <v>TV VALE TRANSPORTE</v>
          </cell>
          <cell r="C1201" t="str">
            <v>Tabela de Valores Vale Transporte</v>
          </cell>
          <cell r="D1201" t="str">
            <v>SEM JORNADA</v>
          </cell>
          <cell r="E1201">
            <v>41699</v>
          </cell>
          <cell r="G1201" t="str">
            <v>0132</v>
          </cell>
          <cell r="H1201" t="str">
            <v>Alvorada Americana/ J. Algarve/j. Aparecida</v>
          </cell>
          <cell r="I1201" t="str">
            <v>Valor Passagem</v>
          </cell>
          <cell r="J1201">
            <v>2.9</v>
          </cell>
        </row>
        <row r="1202">
          <cell r="A1202" t="str">
            <v>TV VALE TRANSPORTE 0133 SEM JORNADA</v>
          </cell>
          <cell r="B1202" t="str">
            <v>TV VALE TRANSPORTE</v>
          </cell>
          <cell r="C1202" t="str">
            <v>Tabela de Valores Vale Transporte</v>
          </cell>
          <cell r="D1202" t="str">
            <v>SEM JORNADA</v>
          </cell>
          <cell r="E1202">
            <v>41699</v>
          </cell>
          <cell r="G1202" t="str">
            <v>0133</v>
          </cell>
          <cell r="H1202" t="str">
            <v>Passo da Figueira-Vila Elza</v>
          </cell>
          <cell r="I1202" t="str">
            <v>Valor Passagem</v>
          </cell>
          <cell r="J1202">
            <v>3.3</v>
          </cell>
        </row>
        <row r="1203">
          <cell r="A1203" t="str">
            <v>TV VALE TRANSPORTE 0139 SEM JORNADA</v>
          </cell>
          <cell r="B1203" t="str">
            <v>TV VALE TRANSPORTE</v>
          </cell>
          <cell r="C1203" t="str">
            <v>Tabela de Valores Vale Transporte</v>
          </cell>
          <cell r="D1203" t="str">
            <v>SEM JORNADA</v>
          </cell>
          <cell r="E1203">
            <v>41699</v>
          </cell>
          <cell r="G1203" t="str">
            <v>0139</v>
          </cell>
          <cell r="H1203" t="str">
            <v>Taquara-N. Hamburgo(Comum)</v>
          </cell>
          <cell r="I1203" t="str">
            <v>Valor Passagem</v>
          </cell>
          <cell r="J1203">
            <v>6.2</v>
          </cell>
        </row>
        <row r="1204">
          <cell r="A1204" t="str">
            <v>TV VALE TRANSPORTE 0155 SEM JORNADA</v>
          </cell>
          <cell r="B1204" t="str">
            <v>TV VALE TRANSPORTE</v>
          </cell>
          <cell r="C1204" t="str">
            <v>Tabela de Valores Vale Transporte</v>
          </cell>
          <cell r="D1204" t="str">
            <v>SEM JORNADA</v>
          </cell>
          <cell r="E1204">
            <v>41699</v>
          </cell>
          <cell r="G1204" t="str">
            <v>0155</v>
          </cell>
          <cell r="H1204" t="str">
            <v>Av. Trabalhador - TM1 TM2 TM3</v>
          </cell>
          <cell r="I1204" t="str">
            <v>Valor Passagem</v>
          </cell>
          <cell r="J1204">
            <v>2.8</v>
          </cell>
        </row>
        <row r="1205">
          <cell r="A1205" t="str">
            <v>TV VALE TRANSPORTE 0201 SEM JORNADA</v>
          </cell>
          <cell r="B1205" t="str">
            <v>TV VALE TRANSPORTE</v>
          </cell>
          <cell r="C1205" t="str">
            <v>Tabela de Valores Vale Transporte</v>
          </cell>
          <cell r="D1205" t="str">
            <v>SEM JORNADA</v>
          </cell>
          <cell r="E1205">
            <v>41699</v>
          </cell>
          <cell r="G1205" t="str">
            <v>0201</v>
          </cell>
          <cell r="H1205" t="str">
            <v>Alvorada-Americana</v>
          </cell>
          <cell r="I1205" t="str">
            <v>Valor Passagem</v>
          </cell>
          <cell r="J1205">
            <v>2.9</v>
          </cell>
        </row>
        <row r="1206">
          <cell r="A1206" t="str">
            <v>TV VALE TRANSPORTE 0204 SEM JORNADA</v>
          </cell>
          <cell r="B1206" t="str">
            <v>TV VALE TRANSPORTE</v>
          </cell>
          <cell r="C1206" t="str">
            <v>Tabela de Valores Vale Transporte</v>
          </cell>
          <cell r="D1206" t="str">
            <v>SEM JORNADA</v>
          </cell>
          <cell r="E1206">
            <v>41699</v>
          </cell>
          <cell r="G1206" t="str">
            <v>0204</v>
          </cell>
          <cell r="H1206" t="str">
            <v>P Figueira-V Elza</v>
          </cell>
          <cell r="I1206" t="str">
            <v>Valor Passagem</v>
          </cell>
          <cell r="J1206">
            <v>3.3</v>
          </cell>
        </row>
        <row r="1207">
          <cell r="A1207" t="str">
            <v>TV VALE TRANSPORTE 0214 SEM JORNADA</v>
          </cell>
          <cell r="B1207" t="str">
            <v>TV VALE TRANSPORTE</v>
          </cell>
          <cell r="C1207" t="str">
            <v>Tabela de Valores Vale Transporte</v>
          </cell>
          <cell r="D1207" t="str">
            <v>SEM JORNADA</v>
          </cell>
          <cell r="E1207">
            <v>41699</v>
          </cell>
          <cell r="G1207" t="str">
            <v>0214</v>
          </cell>
          <cell r="H1207" t="str">
            <v>Estância Grande</v>
          </cell>
          <cell r="I1207" t="str">
            <v>Valor Passagem</v>
          </cell>
          <cell r="J1207">
            <v>3.3</v>
          </cell>
        </row>
        <row r="1208">
          <cell r="A1208" t="str">
            <v>TV VALE TRANSPORTE 0215 SEM JORNADA</v>
          </cell>
          <cell r="B1208" t="str">
            <v>TV VALE TRANSPORTE</v>
          </cell>
          <cell r="C1208" t="str">
            <v>Tabela de Valores Vale Transporte</v>
          </cell>
          <cell r="D1208" t="str">
            <v>SEM JORNADA</v>
          </cell>
          <cell r="E1208">
            <v>41699</v>
          </cell>
          <cell r="G1208" t="str">
            <v>0215</v>
          </cell>
          <cell r="H1208" t="str">
            <v>Alvorada-Dist Indust</v>
          </cell>
          <cell r="I1208" t="str">
            <v>Valor Passagem</v>
          </cell>
          <cell r="J1208">
            <v>3</v>
          </cell>
        </row>
        <row r="1209">
          <cell r="A1209" t="str">
            <v>TV VALE TRANSPORTE 0216 SEM JORNADA</v>
          </cell>
          <cell r="B1209" t="str">
            <v>TV VALE TRANSPORTE</v>
          </cell>
          <cell r="C1209" t="str">
            <v>Tabela de Valores Vale Transporte</v>
          </cell>
          <cell r="D1209" t="str">
            <v>SEM JORNADA</v>
          </cell>
          <cell r="E1209">
            <v>41699</v>
          </cell>
          <cell r="G1209" t="str">
            <v>0216</v>
          </cell>
          <cell r="H1209" t="str">
            <v>Vila Elza-Sarandi</v>
          </cell>
          <cell r="I1209" t="str">
            <v>Valor Passagem</v>
          </cell>
          <cell r="J1209">
            <v>2.65</v>
          </cell>
        </row>
        <row r="1210">
          <cell r="A1210" t="str">
            <v>TV VALE TRANSPORTE 0218 SEM JORNADA</v>
          </cell>
          <cell r="B1210" t="str">
            <v>TV VALE TRANSPORTE</v>
          </cell>
          <cell r="C1210" t="str">
            <v>Tabela de Valores Vale Transporte</v>
          </cell>
          <cell r="D1210" t="str">
            <v>SEM JORNADA</v>
          </cell>
          <cell r="E1210">
            <v>41699</v>
          </cell>
          <cell r="G1210" t="str">
            <v>0218</v>
          </cell>
          <cell r="H1210" t="str">
            <v>Alvorada - Urbano</v>
          </cell>
          <cell r="I1210" t="str">
            <v>Valor Passagem</v>
          </cell>
          <cell r="J1210">
            <v>2.7</v>
          </cell>
        </row>
        <row r="1211">
          <cell r="A1211" t="str">
            <v>TV VALE TRANSPORTE 0219 SEM JORNADA</v>
          </cell>
          <cell r="B1211" t="str">
            <v>TV VALE TRANSPORTE</v>
          </cell>
          <cell r="C1211" t="str">
            <v>Tabela de Valores Vale Transporte</v>
          </cell>
          <cell r="D1211" t="str">
            <v>SEM JORNADA</v>
          </cell>
          <cell r="E1211">
            <v>41699</v>
          </cell>
          <cell r="G1211" t="str">
            <v>0219</v>
          </cell>
          <cell r="H1211" t="str">
            <v>Alvorada/Novo Hamburgo (via Sapucaia) ¿ Unesul</v>
          </cell>
          <cell r="I1211" t="str">
            <v>Valor Passagem</v>
          </cell>
          <cell r="J1211">
            <v>3</v>
          </cell>
        </row>
        <row r="1212">
          <cell r="A1212" t="str">
            <v>TV VALE TRANSPORTE 0251 SEM JORNADA</v>
          </cell>
          <cell r="B1212" t="str">
            <v>TV VALE TRANSPORTE</v>
          </cell>
          <cell r="C1212" t="str">
            <v>Tabela de Valores Vale Transporte</v>
          </cell>
          <cell r="D1212" t="str">
            <v>SEM JORNADA</v>
          </cell>
          <cell r="E1212">
            <v>41699</v>
          </cell>
          <cell r="G1212" t="str">
            <v>0251</v>
          </cell>
          <cell r="H1212" t="str">
            <v>Viamão-São Tomé-S.Onofre</v>
          </cell>
          <cell r="I1212" t="str">
            <v>Valor Passagem</v>
          </cell>
          <cell r="J1212">
            <v>3.85</v>
          </cell>
        </row>
        <row r="1213">
          <cell r="A1213" t="str">
            <v>TV VALE TRANSPORTE 0252 SEM JORNADA</v>
          </cell>
          <cell r="B1213" t="str">
            <v>TV VALE TRANSPORTE</v>
          </cell>
          <cell r="C1213" t="str">
            <v>Tabela de Valores Vale Transporte</v>
          </cell>
          <cell r="D1213" t="str">
            <v>SEM JORNADA</v>
          </cell>
          <cell r="E1213">
            <v>41699</v>
          </cell>
          <cell r="G1213" t="str">
            <v>0252</v>
          </cell>
          <cell r="H1213" t="str">
            <v>Viamão-V Figueira-V Esmeralda</v>
          </cell>
          <cell r="I1213" t="str">
            <v>Valor Passagem</v>
          </cell>
          <cell r="J1213">
            <v>2.85</v>
          </cell>
        </row>
        <row r="1214">
          <cell r="A1214" t="str">
            <v>TV VALE TRANSPORTE 0253 SEM JORNADA</v>
          </cell>
          <cell r="B1214" t="str">
            <v>TV VALE TRANSPORTE</v>
          </cell>
          <cell r="C1214" t="str">
            <v>Tabela de Valores Vale Transporte</v>
          </cell>
          <cell r="D1214" t="str">
            <v>SEM JORNADA</v>
          </cell>
          <cell r="E1214">
            <v>41699</v>
          </cell>
          <cell r="G1214" t="str">
            <v>0253</v>
          </cell>
          <cell r="H1214" t="str">
            <v>Viamão - Urbano</v>
          </cell>
          <cell r="I1214" t="str">
            <v>Valor Passagem</v>
          </cell>
          <cell r="J1214">
            <v>2.75</v>
          </cell>
        </row>
        <row r="1215">
          <cell r="A1215" t="str">
            <v>TV VALE TRANSPORTE 0254 SEM JORNADA</v>
          </cell>
          <cell r="B1215" t="str">
            <v>TV VALE TRANSPORTE</v>
          </cell>
          <cell r="C1215" t="str">
            <v>Tabela de Valores Vale Transporte</v>
          </cell>
          <cell r="D1215" t="str">
            <v>SEM JORNADA</v>
          </cell>
          <cell r="E1215">
            <v>41699</v>
          </cell>
          <cell r="G1215" t="str">
            <v>0254</v>
          </cell>
          <cell r="H1215" t="str">
            <v>Viamão-Semi Direto</v>
          </cell>
          <cell r="I1215" t="str">
            <v>Valor Passagem</v>
          </cell>
          <cell r="J1215">
            <v>5.35</v>
          </cell>
        </row>
        <row r="1216">
          <cell r="A1216" t="str">
            <v>TV VALE TRANSPORTE 0255 SEM JORNADA</v>
          </cell>
          <cell r="B1216" t="str">
            <v>TV VALE TRANSPORTE</v>
          </cell>
          <cell r="C1216" t="str">
            <v>Tabela de Valores Vale Transporte</v>
          </cell>
          <cell r="D1216" t="str">
            <v>SEM JORNADA</v>
          </cell>
          <cell r="E1216">
            <v>41699</v>
          </cell>
          <cell r="G1216" t="str">
            <v>0255</v>
          </cell>
          <cell r="H1216" t="str">
            <v>Viamão Municipal</v>
          </cell>
          <cell r="I1216" t="str">
            <v>Valor Passagem</v>
          </cell>
          <cell r="J1216">
            <v>2.7</v>
          </cell>
        </row>
        <row r="1217">
          <cell r="A1217" t="str">
            <v>TV VALE TRANSPORTE 0256 SEM JORNADA</v>
          </cell>
          <cell r="B1217" t="str">
            <v>TV VALE TRANSPORTE</v>
          </cell>
          <cell r="C1217" t="str">
            <v>Tabela de Valores Vale Transporte</v>
          </cell>
          <cell r="D1217" t="str">
            <v>SEM JORNADA</v>
          </cell>
          <cell r="E1217">
            <v>41699</v>
          </cell>
          <cell r="G1217" t="str">
            <v>0256</v>
          </cell>
          <cell r="H1217" t="str">
            <v>P.Alegre/M.Alegre</v>
          </cell>
          <cell r="I1217" t="str">
            <v>Valor Passagem</v>
          </cell>
          <cell r="J1217">
            <v>4.35</v>
          </cell>
        </row>
        <row r="1218">
          <cell r="A1218" t="str">
            <v>TV VALE TRANSPORTE 0257 SEM JORNADA</v>
          </cell>
          <cell r="B1218" t="str">
            <v>TV VALE TRANSPORTE</v>
          </cell>
          <cell r="C1218" t="str">
            <v>Tabela de Valores Vale Transporte</v>
          </cell>
          <cell r="D1218" t="str">
            <v>SEM JORNADA</v>
          </cell>
          <cell r="E1218">
            <v>41699</v>
          </cell>
          <cell r="G1218" t="str">
            <v>0257</v>
          </cell>
          <cell r="H1218" t="str">
            <v>Viamão-Metropolitano</v>
          </cell>
          <cell r="I1218" t="str">
            <v>Valor Passagem</v>
          </cell>
          <cell r="J1218">
            <v>8</v>
          </cell>
        </row>
        <row r="1219">
          <cell r="A1219" t="str">
            <v>TV VALE TRANSPORTE 0267 SEM JORNADA</v>
          </cell>
          <cell r="B1219" t="str">
            <v>TV VALE TRANSPORTE</v>
          </cell>
          <cell r="C1219" t="str">
            <v>Tabela de Valores Vale Transporte</v>
          </cell>
          <cell r="D1219" t="str">
            <v>SEM JORNADA</v>
          </cell>
          <cell r="E1219">
            <v>41699</v>
          </cell>
          <cell r="G1219" t="str">
            <v>0267</v>
          </cell>
          <cell r="H1219" t="str">
            <v>M. Grande, Banco Cemitério, Aguas Claras - Viamão</v>
          </cell>
          <cell r="I1219" t="str">
            <v>Valor Passagem</v>
          </cell>
          <cell r="J1219">
            <v>2.95</v>
          </cell>
        </row>
        <row r="1220">
          <cell r="A1220" t="str">
            <v>TV VALE TRANSPORTE 0271 SEM JORNADA</v>
          </cell>
          <cell r="B1220" t="str">
            <v>TV VALE TRANSPORTE</v>
          </cell>
          <cell r="C1220" t="str">
            <v>Tabela de Valores Vale Transporte</v>
          </cell>
          <cell r="D1220" t="str">
            <v>SEM JORNADA</v>
          </cell>
          <cell r="E1220">
            <v>41699</v>
          </cell>
          <cell r="G1220" t="str">
            <v>0271</v>
          </cell>
          <cell r="H1220" t="str">
            <v>Pelotas-Rio Grande</v>
          </cell>
          <cell r="I1220" t="str">
            <v>Valor Passagem</v>
          </cell>
          <cell r="J1220">
            <v>9.6</v>
          </cell>
        </row>
        <row r="1221">
          <cell r="A1221" t="str">
            <v>TV VALE TRANSPORTE 0273 SEM JORNADA</v>
          </cell>
          <cell r="B1221" t="str">
            <v>TV VALE TRANSPORTE</v>
          </cell>
          <cell r="C1221" t="str">
            <v>Tabela de Valores Vale Transporte</v>
          </cell>
          <cell r="D1221" t="str">
            <v>SEM JORNADA</v>
          </cell>
          <cell r="E1221">
            <v>41699</v>
          </cell>
          <cell r="G1221" t="str">
            <v>0273</v>
          </cell>
          <cell r="H1221" t="str">
            <v>Pelotas - São Lourenço (Manhã)</v>
          </cell>
          <cell r="I1221" t="str">
            <v>Valor Passagem</v>
          </cell>
          <cell r="J1221">
            <v>11.45</v>
          </cell>
        </row>
        <row r="1222">
          <cell r="A1222" t="str">
            <v>TV VALE TRANSPORTE 0274 SEM JORNADA</v>
          </cell>
          <cell r="B1222" t="str">
            <v>TV VALE TRANSPORTE</v>
          </cell>
          <cell r="C1222" t="str">
            <v>Tabela de Valores Vale Transporte</v>
          </cell>
          <cell r="D1222" t="str">
            <v>SEM JORNADA</v>
          </cell>
          <cell r="E1222">
            <v>41699</v>
          </cell>
          <cell r="G1222" t="str">
            <v>0274</v>
          </cell>
          <cell r="H1222" t="str">
            <v>Pelotas - São Lourenço (Noite)</v>
          </cell>
          <cell r="I1222" t="str">
            <v>Valor Passagem</v>
          </cell>
          <cell r="J1222">
            <v>9.85</v>
          </cell>
        </row>
        <row r="1223">
          <cell r="A1223" t="str">
            <v>TV VALE TRANSPORTE 0275 SEM JORNADA</v>
          </cell>
          <cell r="B1223" t="str">
            <v>TV VALE TRANSPORTE</v>
          </cell>
          <cell r="C1223" t="str">
            <v>Tabela de Valores Vale Transporte</v>
          </cell>
          <cell r="D1223" t="str">
            <v>SEM JORNADA</v>
          </cell>
          <cell r="E1223">
            <v>41699</v>
          </cell>
          <cell r="G1223" t="str">
            <v>0275</v>
          </cell>
          <cell r="H1223" t="str">
            <v>Pelotas/Canguçú (Empr. Expresso Embaixador)</v>
          </cell>
          <cell r="I1223" t="str">
            <v>Valor Passagem</v>
          </cell>
          <cell r="J1223">
            <v>9.45</v>
          </cell>
        </row>
        <row r="1224">
          <cell r="A1224" t="str">
            <v>TV VALE TRANSPORTE 0276 SEM JORNADA</v>
          </cell>
          <cell r="B1224" t="str">
            <v>TV VALE TRANSPORTE</v>
          </cell>
          <cell r="C1224" t="str">
            <v>Tabela de Valores Vale Transporte</v>
          </cell>
          <cell r="D1224" t="str">
            <v>SEM JORNADA</v>
          </cell>
          <cell r="E1224">
            <v>41699</v>
          </cell>
          <cell r="G1224" t="str">
            <v>0276</v>
          </cell>
          <cell r="H1224" t="str">
            <v>Estrela - Urbana ( Agostini Transportes)</v>
          </cell>
          <cell r="I1224" t="str">
            <v>Valor Passagem</v>
          </cell>
          <cell r="J1224">
            <v>2</v>
          </cell>
        </row>
        <row r="1225">
          <cell r="A1225" t="str">
            <v>TV VALE TRANSPORTE 0277 SEM JORNADA</v>
          </cell>
          <cell r="B1225" t="str">
            <v>TV VALE TRANSPORTE</v>
          </cell>
          <cell r="C1225" t="str">
            <v>Tabela de Valores Vale Transporte</v>
          </cell>
          <cell r="D1225" t="str">
            <v>SEM JORNADA</v>
          </cell>
          <cell r="E1225">
            <v>41699</v>
          </cell>
          <cell r="G1225" t="str">
            <v>0277</v>
          </cell>
          <cell r="H1225" t="str">
            <v>Pelotas/São Lourenço (Empr. Expresso Pérola)</v>
          </cell>
          <cell r="I1225" t="str">
            <v>Valor Passagem</v>
          </cell>
          <cell r="J1225">
            <v>11.45</v>
          </cell>
        </row>
        <row r="1226">
          <cell r="A1226" t="str">
            <v>TV VALE TRANSPORTE 0304 SEM JORNADA</v>
          </cell>
          <cell r="B1226" t="str">
            <v>TV VALE TRANSPORTE</v>
          </cell>
          <cell r="C1226" t="str">
            <v>Tabela de Valores Vale Transporte</v>
          </cell>
          <cell r="D1226" t="str">
            <v>SEM JORNADA</v>
          </cell>
          <cell r="E1226">
            <v>41699</v>
          </cell>
          <cell r="G1226" t="str">
            <v>0304</v>
          </cell>
          <cell r="H1226" t="str">
            <v>Porto Alegre-Iraí (Ouro e Prata)</v>
          </cell>
          <cell r="I1226" t="str">
            <v>Valor Passagem</v>
          </cell>
          <cell r="J1226">
            <v>69.85</v>
          </cell>
        </row>
        <row r="1227">
          <cell r="A1227" t="str">
            <v>TV VALE TRANSPORTE 0306 SEM JORNADA</v>
          </cell>
          <cell r="B1227" t="str">
            <v>TV VALE TRANSPORTE</v>
          </cell>
          <cell r="C1227" t="str">
            <v>Tabela de Valores Vale Transporte</v>
          </cell>
          <cell r="D1227" t="str">
            <v>SEM JORNADA</v>
          </cell>
          <cell r="E1227">
            <v>41699</v>
          </cell>
          <cell r="G1227" t="str">
            <v>0306</v>
          </cell>
          <cell r="H1227" t="str">
            <v>Poa/Cidreira - Palmares</v>
          </cell>
          <cell r="I1227" t="str">
            <v>Valor Passagem</v>
          </cell>
          <cell r="J1227">
            <v>16.1</v>
          </cell>
        </row>
        <row r="1228">
          <cell r="A1228" t="str">
            <v>TV VALE TRANSPORTE 0307 SEM JORNADA</v>
          </cell>
          <cell r="B1228" t="str">
            <v>TV VALE TRANSPORTE</v>
          </cell>
          <cell r="C1228" t="str">
            <v>Tabela de Valores Vale Transporte</v>
          </cell>
          <cell r="D1228" t="str">
            <v>SEM JORNADA</v>
          </cell>
          <cell r="E1228">
            <v>41699</v>
          </cell>
          <cell r="G1228" t="str">
            <v>0307</v>
          </cell>
          <cell r="H1228" t="str">
            <v>Porto Alegre-Pinhal - Empresa Palmares</v>
          </cell>
          <cell r="I1228" t="str">
            <v>Valor Passagem</v>
          </cell>
          <cell r="J1228">
            <v>22.45</v>
          </cell>
        </row>
        <row r="1229">
          <cell r="A1229" t="str">
            <v>TV VALE TRANSPORTE 0309 SEM JORNADA</v>
          </cell>
          <cell r="B1229" t="str">
            <v>TV VALE TRANSPORTE</v>
          </cell>
          <cell r="C1229" t="str">
            <v>Tabela de Valores Vale Transporte</v>
          </cell>
          <cell r="D1229" t="str">
            <v>SEM JORNADA</v>
          </cell>
          <cell r="E1229">
            <v>41699</v>
          </cell>
          <cell r="G1229" t="str">
            <v>0309</v>
          </cell>
          <cell r="H1229" t="str">
            <v>Gravataí/Glorinha (Viação Unesul)</v>
          </cell>
          <cell r="I1229" t="str">
            <v>Valor Passagem</v>
          </cell>
          <cell r="J1229">
            <v>3.25</v>
          </cell>
        </row>
        <row r="1230">
          <cell r="A1230" t="str">
            <v>TV VALE TRANSPORTE 0310 SEM JORNADA</v>
          </cell>
          <cell r="B1230" t="str">
            <v>TV VALE TRANSPORTE</v>
          </cell>
          <cell r="C1230" t="str">
            <v>Tabela de Valores Vale Transporte</v>
          </cell>
          <cell r="D1230" t="str">
            <v>SEM JORNADA</v>
          </cell>
          <cell r="E1230">
            <v>41699</v>
          </cell>
          <cell r="G1230" t="str">
            <v>0310</v>
          </cell>
          <cell r="H1230" t="str">
            <v>Gravataí - POA</v>
          </cell>
          <cell r="I1230" t="str">
            <v>Valor Passagem</v>
          </cell>
          <cell r="J1230">
            <v>4.75</v>
          </cell>
        </row>
        <row r="1231">
          <cell r="A1231" t="str">
            <v>TV VALE TRANSPORTE 0311 SEM JORNADA</v>
          </cell>
          <cell r="B1231" t="str">
            <v>TV VALE TRANSPORTE</v>
          </cell>
          <cell r="C1231" t="str">
            <v>Tabela de Valores Vale Transporte</v>
          </cell>
          <cell r="D1231" t="str">
            <v>SEM JORNADA</v>
          </cell>
          <cell r="E1231">
            <v>41699</v>
          </cell>
          <cell r="G1231" t="str">
            <v>0311</v>
          </cell>
          <cell r="H1231" t="str">
            <v>Gravataí - Direto</v>
          </cell>
          <cell r="I1231" t="str">
            <v>Valor Passagem</v>
          </cell>
          <cell r="J1231">
            <v>6.8</v>
          </cell>
        </row>
        <row r="1232">
          <cell r="A1232" t="str">
            <v>TV VALE TRANSPORTE 0312 SEM JORNADA</v>
          </cell>
          <cell r="B1232" t="str">
            <v>TV VALE TRANSPORTE</v>
          </cell>
          <cell r="C1232" t="str">
            <v>Tabela de Valores Vale Transporte</v>
          </cell>
          <cell r="D1232" t="str">
            <v>SEM JORNADA</v>
          </cell>
          <cell r="E1232">
            <v>41699</v>
          </cell>
          <cell r="G1232" t="str">
            <v>0312</v>
          </cell>
          <cell r="H1232" t="str">
            <v>Direto/Free Way</v>
          </cell>
          <cell r="I1232" t="str">
            <v>Valor Passagem</v>
          </cell>
          <cell r="J1232">
            <v>6.7</v>
          </cell>
        </row>
        <row r="1233">
          <cell r="A1233" t="str">
            <v>TV VALE TRANSPORTE 0313 SEM JORNADA</v>
          </cell>
          <cell r="B1233" t="str">
            <v>TV VALE TRANSPORTE</v>
          </cell>
          <cell r="C1233" t="str">
            <v>Tabela de Valores Vale Transporte</v>
          </cell>
          <cell r="D1233" t="str">
            <v>SEM JORNADA</v>
          </cell>
          <cell r="E1233">
            <v>41699</v>
          </cell>
          <cell r="G1233" t="str">
            <v>0313</v>
          </cell>
          <cell r="H1233" t="str">
            <v>Gravataí - Ponte</v>
          </cell>
          <cell r="I1233" t="str">
            <v>Valor Passagem</v>
          </cell>
          <cell r="J1233">
            <v>2.75</v>
          </cell>
        </row>
        <row r="1234">
          <cell r="A1234" t="str">
            <v>TV VALE TRANSPORTE 0314 SEM JORNADA</v>
          </cell>
          <cell r="B1234" t="str">
            <v>TV VALE TRANSPORTE</v>
          </cell>
          <cell r="C1234" t="str">
            <v>Tabela de Valores Vale Transporte</v>
          </cell>
          <cell r="D1234" t="str">
            <v>SEM JORNADA</v>
          </cell>
          <cell r="E1234">
            <v>41699</v>
          </cell>
          <cell r="G1234" t="str">
            <v>0314</v>
          </cell>
          <cell r="H1234" t="str">
            <v>Gravataí Municipal (Sogil)</v>
          </cell>
          <cell r="I1234" t="str">
            <v>Valor Passagem</v>
          </cell>
          <cell r="J1234">
            <v>2.75</v>
          </cell>
        </row>
        <row r="1235">
          <cell r="A1235" t="str">
            <v>TV VALE TRANSPORTE 0335 SEM JORNADA</v>
          </cell>
          <cell r="B1235" t="str">
            <v>TV VALE TRANSPORTE</v>
          </cell>
          <cell r="C1235" t="str">
            <v>Tabela de Valores Vale Transporte</v>
          </cell>
          <cell r="D1235" t="str">
            <v>SEM JORNADA</v>
          </cell>
          <cell r="E1235">
            <v>41699</v>
          </cell>
          <cell r="G1235" t="str">
            <v>0335</v>
          </cell>
          <cell r="H1235" t="str">
            <v>Porto Alegre-Bom Retiro - Expresso Azul Transporte</v>
          </cell>
          <cell r="I1235" t="str">
            <v>Valor Passagem</v>
          </cell>
          <cell r="J1235">
            <v>13.55</v>
          </cell>
        </row>
        <row r="1236">
          <cell r="A1236" t="str">
            <v>TV VALE TRANSPORTE 0353 SEM JORNADA</v>
          </cell>
          <cell r="B1236" t="str">
            <v>TV VALE TRANSPORTE</v>
          </cell>
          <cell r="C1236" t="str">
            <v>Tabela de Valores Vale Transporte</v>
          </cell>
          <cell r="D1236" t="str">
            <v>SEM JORNADA</v>
          </cell>
          <cell r="E1236">
            <v>41699</v>
          </cell>
          <cell r="G1236" t="str">
            <v>0353</v>
          </cell>
          <cell r="H1236" t="str">
            <v>Pelotas/Poa - Empr Embaixador</v>
          </cell>
          <cell r="I1236" t="str">
            <v>Valor Passagem</v>
          </cell>
          <cell r="J1236">
            <v>37.1</v>
          </cell>
        </row>
        <row r="1237">
          <cell r="A1237" t="str">
            <v>TV VALE TRANSPORTE 0384 SEM JORNADA</v>
          </cell>
          <cell r="B1237" t="str">
            <v>TV VALE TRANSPORTE</v>
          </cell>
          <cell r="C1237" t="str">
            <v>Tabela de Valores Vale Transporte</v>
          </cell>
          <cell r="D1237" t="str">
            <v>SEM JORNADA</v>
          </cell>
          <cell r="E1237">
            <v>41699</v>
          </cell>
          <cell r="G1237" t="str">
            <v>0384</v>
          </cell>
          <cell r="H1237" t="str">
            <v>P.Alegre-São Lourenço do Sul</v>
          </cell>
          <cell r="I1237" t="str">
            <v>Valor Passagem</v>
          </cell>
          <cell r="J1237">
            <v>28.35</v>
          </cell>
        </row>
        <row r="1238">
          <cell r="A1238" t="str">
            <v>TV VALE TRANSPORTE 0390 SEM JORNADA</v>
          </cell>
          <cell r="B1238" t="str">
            <v>TV VALE TRANSPORTE</v>
          </cell>
          <cell r="C1238" t="str">
            <v>Tabela de Valores Vale Transporte</v>
          </cell>
          <cell r="D1238" t="str">
            <v>SEM JORNADA</v>
          </cell>
          <cell r="E1238">
            <v>41699</v>
          </cell>
          <cell r="G1238" t="str">
            <v>0390</v>
          </cell>
          <cell r="H1238" t="str">
            <v>Itapuã</v>
          </cell>
          <cell r="I1238" t="str">
            <v>Valor Passagem</v>
          </cell>
          <cell r="J1238">
            <v>4.75</v>
          </cell>
        </row>
        <row r="1239">
          <cell r="A1239" t="str">
            <v>TV VALE TRANSPORTE 0393 SEM JORNADA</v>
          </cell>
          <cell r="B1239" t="str">
            <v>TV VALE TRANSPORTE</v>
          </cell>
          <cell r="C1239" t="str">
            <v>Tabela de Valores Vale Transporte</v>
          </cell>
          <cell r="D1239" t="str">
            <v>SEM JORNADA</v>
          </cell>
          <cell r="E1239">
            <v>41699</v>
          </cell>
          <cell r="G1239" t="str">
            <v>0393</v>
          </cell>
          <cell r="H1239" t="str">
            <v>Canoas/Taquari (Fátima Transp.)</v>
          </cell>
          <cell r="I1239" t="str">
            <v>Valor Passagem</v>
          </cell>
          <cell r="J1239">
            <v>13.1</v>
          </cell>
        </row>
        <row r="1240">
          <cell r="A1240" t="str">
            <v>TV VALE TRANSPORTE 0394 SEM JORNADA</v>
          </cell>
          <cell r="B1240" t="str">
            <v>TV VALE TRANSPORTE</v>
          </cell>
          <cell r="C1240" t="str">
            <v>Tabela de Valores Vale Transporte</v>
          </cell>
          <cell r="D1240" t="str">
            <v>SEM JORNADA</v>
          </cell>
          <cell r="E1240">
            <v>41699</v>
          </cell>
          <cell r="G1240" t="str">
            <v>0394</v>
          </cell>
          <cell r="H1240" t="str">
            <v>P.Alegre-Taquari</v>
          </cell>
          <cell r="I1240" t="str">
            <v>Valor Passagem</v>
          </cell>
          <cell r="J1240">
            <v>15.25</v>
          </cell>
        </row>
        <row r="1241">
          <cell r="A1241" t="str">
            <v>TV VALE TRANSPORTE 0401 SEM JORNADA</v>
          </cell>
          <cell r="B1241" t="str">
            <v>TV VALE TRANSPORTE</v>
          </cell>
          <cell r="C1241" t="str">
            <v>Tabela de Valores Vale Transporte</v>
          </cell>
          <cell r="D1241" t="str">
            <v>SEM JORNADA</v>
          </cell>
          <cell r="E1241">
            <v>41699</v>
          </cell>
          <cell r="G1241" t="str">
            <v>0401</v>
          </cell>
          <cell r="H1241" t="str">
            <v>EVEL-Sta Cecilia- V Augusta</v>
          </cell>
          <cell r="I1241" t="str">
            <v>Valor Passagem</v>
          </cell>
          <cell r="J1241">
            <v>3.15</v>
          </cell>
        </row>
        <row r="1242">
          <cell r="A1242" t="str">
            <v>TV VALE TRANSPORTE 0402 SEM JORNADA</v>
          </cell>
          <cell r="B1242" t="str">
            <v>TV VALE TRANSPORTE</v>
          </cell>
          <cell r="C1242" t="str">
            <v>Tabela de Valores Vale Transporte</v>
          </cell>
          <cell r="D1242" t="str">
            <v>SEM JORNADA</v>
          </cell>
          <cell r="E1242">
            <v>41699</v>
          </cell>
          <cell r="G1242" t="str">
            <v>0402</v>
          </cell>
          <cell r="H1242" t="str">
            <v>Intermediária</v>
          </cell>
          <cell r="I1242" t="str">
            <v>Valor Passagem</v>
          </cell>
          <cell r="J1242">
            <v>2.15</v>
          </cell>
        </row>
        <row r="1243">
          <cell r="A1243" t="str">
            <v>TV VALE TRANSPORTE 0404 SEM JORNADA</v>
          </cell>
          <cell r="B1243" t="str">
            <v>TV VALE TRANSPORTE</v>
          </cell>
          <cell r="C1243" t="str">
            <v>Tabela de Valores Vale Transporte</v>
          </cell>
          <cell r="D1243" t="str">
            <v>SEM JORNADA</v>
          </cell>
          <cell r="E1243">
            <v>41699</v>
          </cell>
          <cell r="G1243" t="str">
            <v>0404</v>
          </cell>
          <cell r="H1243" t="str">
            <v>P. Alegre ¿ Vila Cecília (EVEL)</v>
          </cell>
          <cell r="I1243" t="str">
            <v>Valor Passagem</v>
          </cell>
          <cell r="J1243">
            <v>4.3</v>
          </cell>
        </row>
        <row r="1244">
          <cell r="A1244" t="str">
            <v>TV VALE TRANSPORTE 0432 SEM JORNADA</v>
          </cell>
          <cell r="B1244" t="str">
            <v>TV VALE TRANSPORTE</v>
          </cell>
          <cell r="C1244" t="str">
            <v>Tabela de Valores Vale Transporte</v>
          </cell>
          <cell r="D1244" t="str">
            <v>SEM JORNADA</v>
          </cell>
          <cell r="E1244">
            <v>41699</v>
          </cell>
          <cell r="G1244" t="str">
            <v>0432</v>
          </cell>
          <cell r="H1244" t="str">
            <v>São Sepé/Santa Maria (Planalto)</v>
          </cell>
          <cell r="I1244" t="str">
            <v>Valor Passagem</v>
          </cell>
          <cell r="J1244">
            <v>9.85</v>
          </cell>
        </row>
        <row r="1245">
          <cell r="A1245" t="str">
            <v>TV VALE TRANSPORTE 0433 SEM JORNADA</v>
          </cell>
          <cell r="B1245" t="str">
            <v>TV VALE TRANSPORTE</v>
          </cell>
          <cell r="C1245" t="str">
            <v>Tabela de Valores Vale Transporte</v>
          </cell>
          <cell r="D1245" t="str">
            <v>SEM JORNADA</v>
          </cell>
          <cell r="E1245">
            <v>41699</v>
          </cell>
          <cell r="G1245" t="str">
            <v>0433</v>
          </cell>
          <cell r="H1245" t="str">
            <v>Santa Maria-Cachoeira</v>
          </cell>
          <cell r="I1245" t="str">
            <v>Valor Passagem</v>
          </cell>
          <cell r="J1245">
            <v>22.9</v>
          </cell>
        </row>
        <row r="1246">
          <cell r="A1246" t="str">
            <v>TV VALE TRANSPORTE 0449 SEM JORNADA</v>
          </cell>
          <cell r="B1246" t="str">
            <v>TV VALE TRANSPORTE</v>
          </cell>
          <cell r="C1246" t="str">
            <v>Tabela de Valores Vale Transporte</v>
          </cell>
          <cell r="D1246" t="str">
            <v>SEM JORNADA</v>
          </cell>
          <cell r="E1246">
            <v>41699</v>
          </cell>
          <cell r="G1246" t="str">
            <v>0449</v>
          </cell>
          <cell r="H1246" t="str">
            <v>P.Alegre-Lajeado</v>
          </cell>
          <cell r="I1246" t="str">
            <v>Valor Passagem</v>
          </cell>
          <cell r="J1246">
            <v>17.15</v>
          </cell>
        </row>
        <row r="1247">
          <cell r="A1247" t="str">
            <v>TV VALE TRANSPORTE 0457 SEM JORNADA</v>
          </cell>
          <cell r="B1247" t="str">
            <v>TV VALE TRANSPORTE</v>
          </cell>
          <cell r="C1247" t="str">
            <v>Tabela de Valores Vale Transporte</v>
          </cell>
          <cell r="D1247" t="str">
            <v>SEM JORNADA</v>
          </cell>
          <cell r="E1247">
            <v>41699</v>
          </cell>
          <cell r="G1247" t="str">
            <v>0457</v>
          </cell>
          <cell r="H1247" t="str">
            <v>Erechim-Passo Fundo (Unesul)</v>
          </cell>
          <cell r="I1247" t="str">
            <v>Valor Passagem</v>
          </cell>
          <cell r="J1247">
            <v>13.8</v>
          </cell>
        </row>
        <row r="1248">
          <cell r="A1248" t="str">
            <v>TV VALE TRANSPORTE 0458 SEM JORNADA</v>
          </cell>
          <cell r="B1248" t="str">
            <v>TV VALE TRANSPORTE</v>
          </cell>
          <cell r="C1248" t="str">
            <v>Tabela de Valores Vale Transporte</v>
          </cell>
          <cell r="D1248" t="str">
            <v>SEM JORNADA</v>
          </cell>
          <cell r="E1248">
            <v>41699</v>
          </cell>
          <cell r="G1248" t="str">
            <v>0458</v>
          </cell>
          <cell r="H1248" t="str">
            <v>Erechim/Getulio Vargas (Empresa Unesul)</v>
          </cell>
          <cell r="I1248" t="str">
            <v>Valor Passagem</v>
          </cell>
          <cell r="J1248">
            <v>5.5</v>
          </cell>
        </row>
        <row r="1249">
          <cell r="A1249" t="str">
            <v>TV VALE TRANSPORTE 0461 SEM JORNADA</v>
          </cell>
          <cell r="B1249" t="str">
            <v>TV VALE TRANSPORTE</v>
          </cell>
          <cell r="C1249" t="str">
            <v>Tabela de Valores Vale Transporte</v>
          </cell>
          <cell r="D1249" t="str">
            <v>SEM JORNADA</v>
          </cell>
          <cell r="E1249">
            <v>41699</v>
          </cell>
          <cell r="G1249" t="str">
            <v>0461</v>
          </cell>
          <cell r="H1249" t="str">
            <v>Morungava Mínima</v>
          </cell>
          <cell r="I1249" t="str">
            <v>Valor Passagem</v>
          </cell>
          <cell r="J1249">
            <v>2.35</v>
          </cell>
        </row>
        <row r="1250">
          <cell r="A1250" t="str">
            <v>TV VALE TRANSPORTE 0462 SEM JORNADA</v>
          </cell>
          <cell r="B1250" t="str">
            <v>TV VALE TRANSPORTE</v>
          </cell>
          <cell r="C1250" t="str">
            <v>Tabela de Valores Vale Transporte</v>
          </cell>
          <cell r="D1250" t="str">
            <v>SEM JORNADA</v>
          </cell>
          <cell r="E1250">
            <v>41699</v>
          </cell>
          <cell r="G1250" t="str">
            <v>0462</v>
          </cell>
          <cell r="H1250" t="str">
            <v>P.Alegre-Itacolumi-Morungava</v>
          </cell>
          <cell r="I1250" t="str">
            <v>Valor Passagem</v>
          </cell>
          <cell r="J1250">
            <v>4.8</v>
          </cell>
        </row>
        <row r="1251">
          <cell r="A1251" t="str">
            <v>TV VALE TRANSPORTE 0463 SEM JORNADA</v>
          </cell>
          <cell r="B1251" t="str">
            <v>TV VALE TRANSPORTE</v>
          </cell>
          <cell r="C1251" t="str">
            <v>Tabela de Valores Vale Transporte</v>
          </cell>
          <cell r="D1251" t="str">
            <v>SEM JORNADA</v>
          </cell>
          <cell r="E1251">
            <v>41699</v>
          </cell>
          <cell r="G1251" t="str">
            <v>0463</v>
          </cell>
          <cell r="H1251" t="str">
            <v>Passo do Hilário/ Garces</v>
          </cell>
          <cell r="I1251" t="str">
            <v>Valor Passagem</v>
          </cell>
          <cell r="J1251">
            <v>3.25</v>
          </cell>
        </row>
        <row r="1252">
          <cell r="A1252" t="str">
            <v>TV VALE TRANSPORTE 0464 SEM JORNADA</v>
          </cell>
          <cell r="B1252" t="str">
            <v>TV VALE TRANSPORTE</v>
          </cell>
          <cell r="C1252" t="str">
            <v>Tabela de Valores Vale Transporte</v>
          </cell>
          <cell r="D1252" t="str">
            <v>SEM JORNADA</v>
          </cell>
          <cell r="E1252">
            <v>41699</v>
          </cell>
          <cell r="G1252" t="str">
            <v>0464</v>
          </cell>
          <cell r="H1252" t="str">
            <v>Passo do Hilário-Morada Vale (Ponte)-Transcal</v>
          </cell>
          <cell r="I1252" t="str">
            <v>Valor Passagem</v>
          </cell>
          <cell r="J1252">
            <v>2.5</v>
          </cell>
        </row>
        <row r="1253">
          <cell r="A1253" t="str">
            <v>TV VALE TRANSPORTE 0501 SEM JORNADA</v>
          </cell>
          <cell r="B1253" t="str">
            <v>TV VALE TRANSPORTE</v>
          </cell>
          <cell r="C1253" t="str">
            <v>Tabela de Valores Vale Transporte</v>
          </cell>
          <cell r="D1253" t="str">
            <v>SEM JORNADA</v>
          </cell>
          <cell r="E1253">
            <v>41699</v>
          </cell>
          <cell r="G1253" t="str">
            <v>0501</v>
          </cell>
          <cell r="H1253" t="str">
            <v>Canoas - Executivo</v>
          </cell>
          <cell r="I1253" t="str">
            <v>Valor Passagem</v>
          </cell>
          <cell r="J1253">
            <v>4.7</v>
          </cell>
        </row>
        <row r="1254">
          <cell r="A1254" t="str">
            <v>TV VALE TRANSPORTE 0502 SEM JORNADA</v>
          </cell>
          <cell r="B1254" t="str">
            <v>TV VALE TRANSPORTE</v>
          </cell>
          <cell r="C1254" t="str">
            <v>Tabela de Valores Vale Transporte</v>
          </cell>
          <cell r="D1254" t="str">
            <v>SEM JORNADA</v>
          </cell>
          <cell r="E1254">
            <v>41699</v>
          </cell>
          <cell r="G1254" t="str">
            <v>0502</v>
          </cell>
          <cell r="H1254" t="str">
            <v>Canoas-Guajuviras</v>
          </cell>
          <cell r="I1254" t="str">
            <v>Valor Passagem</v>
          </cell>
          <cell r="J1254">
            <v>3.15</v>
          </cell>
        </row>
        <row r="1255">
          <cell r="A1255" t="str">
            <v>TV VALE TRANSPORTE 0503 SEM JORNADA</v>
          </cell>
          <cell r="B1255" t="str">
            <v>TV VALE TRANSPORTE</v>
          </cell>
          <cell r="C1255" t="str">
            <v>Tabela de Valores Vale Transporte</v>
          </cell>
          <cell r="D1255" t="str">
            <v>SEM JORNADA</v>
          </cell>
          <cell r="E1255">
            <v>41699</v>
          </cell>
          <cell r="G1255" t="str">
            <v>0503</v>
          </cell>
          <cell r="H1255" t="str">
            <v>Cachoeirinha-M Vale</v>
          </cell>
          <cell r="I1255" t="str">
            <v>Valor Passagem</v>
          </cell>
          <cell r="J1255">
            <v>3.5</v>
          </cell>
        </row>
        <row r="1256">
          <cell r="A1256" t="str">
            <v>TV VALE TRANSPORTE 0504 SEM JORNADA</v>
          </cell>
          <cell r="B1256" t="str">
            <v>TV VALE TRANSPORTE</v>
          </cell>
          <cell r="C1256" t="str">
            <v>Tabela de Valores Vale Transporte</v>
          </cell>
          <cell r="D1256" t="str">
            <v>SEM JORNADA</v>
          </cell>
          <cell r="E1256">
            <v>41699</v>
          </cell>
          <cell r="G1256" t="str">
            <v>0504</v>
          </cell>
          <cell r="H1256" t="str">
            <v>Cachoeirinha-Munic</v>
          </cell>
          <cell r="I1256" t="str">
            <v>Valor Passagem</v>
          </cell>
          <cell r="J1256">
            <v>2.6</v>
          </cell>
        </row>
        <row r="1257">
          <cell r="A1257" t="str">
            <v>TV VALE TRANSPORTE 0508 SEM JORNADA</v>
          </cell>
          <cell r="B1257" t="str">
            <v>TV VALE TRANSPORTE</v>
          </cell>
          <cell r="C1257" t="str">
            <v>Tabela de Valores Vale Transporte</v>
          </cell>
          <cell r="D1257" t="str">
            <v>SEM JORNADA</v>
          </cell>
          <cell r="E1257">
            <v>41699</v>
          </cell>
          <cell r="G1257" t="str">
            <v>0508</v>
          </cell>
          <cell r="H1257" t="str">
            <v>Transcal-Executivo</v>
          </cell>
          <cell r="I1257" t="str">
            <v>Valor Passagem</v>
          </cell>
          <cell r="J1257">
            <v>4.9</v>
          </cell>
        </row>
        <row r="1258">
          <cell r="A1258" t="str">
            <v>TV VALE TRANSPORTE 0509 SEM JORNADA</v>
          </cell>
          <cell r="B1258" t="str">
            <v>TV VALE TRANSPORTE</v>
          </cell>
          <cell r="C1258" t="str">
            <v>Tabela de Valores Vale Transporte</v>
          </cell>
          <cell r="D1258" t="str">
            <v>SEM JORNADA</v>
          </cell>
          <cell r="E1258">
            <v>41699</v>
          </cell>
          <cell r="G1258" t="str">
            <v>0509</v>
          </cell>
          <cell r="H1258" t="str">
            <v>Cachoeirinha/Gravataí (ATM)</v>
          </cell>
          <cell r="I1258" t="str">
            <v>Valor Passagem</v>
          </cell>
          <cell r="J1258">
            <v>3.15</v>
          </cell>
        </row>
        <row r="1259">
          <cell r="A1259" t="str">
            <v>TV VALE TRANSPORTE 0511 SEM JORNADA</v>
          </cell>
          <cell r="B1259" t="str">
            <v>TV VALE TRANSPORTE</v>
          </cell>
          <cell r="C1259" t="str">
            <v>Tabela de Valores Vale Transporte</v>
          </cell>
          <cell r="D1259" t="str">
            <v>SEM JORNADA</v>
          </cell>
          <cell r="E1259">
            <v>41699</v>
          </cell>
          <cell r="G1259" t="str">
            <v>0511</v>
          </cell>
          <cell r="H1259" t="str">
            <v>Canoas Urbana</v>
          </cell>
          <cell r="I1259" t="str">
            <v>Valor Passagem</v>
          </cell>
          <cell r="J1259">
            <v>2.6</v>
          </cell>
        </row>
        <row r="1260">
          <cell r="A1260" t="str">
            <v>TV VALE TRANSPORTE 0516 SEM JORNADA</v>
          </cell>
          <cell r="B1260" t="str">
            <v>TV VALE TRANSPORTE</v>
          </cell>
          <cell r="C1260" t="str">
            <v>Tabela de Valores Vale Transporte</v>
          </cell>
          <cell r="D1260" t="str">
            <v>SEM JORNADA</v>
          </cell>
          <cell r="E1260">
            <v>41699</v>
          </cell>
          <cell r="G1260" t="str">
            <v>0516</v>
          </cell>
          <cell r="H1260" t="str">
            <v>Esteio Urbana</v>
          </cell>
          <cell r="I1260" t="str">
            <v>Valor Passagem</v>
          </cell>
          <cell r="J1260">
            <v>2.2</v>
          </cell>
        </row>
        <row r="1261">
          <cell r="A1261" t="str">
            <v>TV VALE TRANSPORTE 0520 SEM JORNADA</v>
          </cell>
          <cell r="B1261" t="str">
            <v>TV VALE TRANSPORTE</v>
          </cell>
          <cell r="C1261" t="str">
            <v>Tabela de Valores Vale Transporte</v>
          </cell>
          <cell r="D1261" t="str">
            <v>SEM JORNADA</v>
          </cell>
          <cell r="E1261">
            <v>41699</v>
          </cell>
          <cell r="G1261" t="str">
            <v>0520</v>
          </cell>
          <cell r="H1261" t="str">
            <v>Canoas/Nova Sta Rita</v>
          </cell>
          <cell r="I1261" t="str">
            <v>Valor Passagem</v>
          </cell>
          <cell r="J1261">
            <v>2.75</v>
          </cell>
        </row>
        <row r="1262">
          <cell r="A1262" t="str">
            <v>TV VALE TRANSPORTE 0551 SEM JORNADA</v>
          </cell>
          <cell r="B1262" t="str">
            <v>TV VALE TRANSPORTE</v>
          </cell>
          <cell r="C1262" t="str">
            <v>Tabela de Valores Vale Transporte</v>
          </cell>
          <cell r="D1262" t="str">
            <v>SEM JORNADA</v>
          </cell>
          <cell r="E1262">
            <v>41699</v>
          </cell>
          <cell r="G1262" t="str">
            <v>0551</v>
          </cell>
          <cell r="H1262" t="str">
            <v>Sapucaia Sul-Urbano-Canoas-Esteio</v>
          </cell>
          <cell r="I1262" t="str">
            <v>Valor Passagem</v>
          </cell>
          <cell r="J1262">
            <v>2.65</v>
          </cell>
        </row>
        <row r="1263">
          <cell r="A1263" t="str">
            <v>TV VALE TRANSPORTE 0553 SEM JORNADA</v>
          </cell>
          <cell r="B1263" t="str">
            <v>TV VALE TRANSPORTE</v>
          </cell>
          <cell r="C1263" t="str">
            <v>Tabela de Valores Vale Transporte</v>
          </cell>
          <cell r="D1263" t="str">
            <v>SEM JORNADA</v>
          </cell>
          <cell r="E1263">
            <v>41699</v>
          </cell>
          <cell r="G1263" t="str">
            <v>0553</v>
          </cell>
          <cell r="H1263" t="str">
            <v>P.Alegre-Esteio-Sapucaia Sul</v>
          </cell>
          <cell r="I1263" t="str">
            <v>Valor Passagem</v>
          </cell>
          <cell r="J1263">
            <v>3.15</v>
          </cell>
        </row>
        <row r="1264">
          <cell r="A1264" t="str">
            <v>TV VALE TRANSPORTE 0555 SEM JORNADA</v>
          </cell>
          <cell r="B1264" t="str">
            <v>TV VALE TRANSPORTE</v>
          </cell>
          <cell r="C1264" t="str">
            <v>Tabela de Valores Vale Transporte</v>
          </cell>
          <cell r="D1264" t="str">
            <v>SEM JORNADA</v>
          </cell>
          <cell r="E1264">
            <v>41699</v>
          </cell>
          <cell r="G1264" t="str">
            <v>0555</v>
          </cell>
          <cell r="H1264" t="str">
            <v>Sapucaia - S Direto</v>
          </cell>
          <cell r="I1264" t="str">
            <v>Valor Passagem</v>
          </cell>
          <cell r="J1264">
            <v>4.85</v>
          </cell>
        </row>
        <row r="1265">
          <cell r="A1265" t="str">
            <v>TV VALE TRANSPORTE 0557 SEM JORNADA</v>
          </cell>
          <cell r="B1265" t="str">
            <v>TV VALE TRANSPORTE</v>
          </cell>
          <cell r="C1265" t="str">
            <v>Tabela de Valores Vale Transporte</v>
          </cell>
          <cell r="D1265" t="str">
            <v>SEM JORNADA</v>
          </cell>
          <cell r="E1265">
            <v>41699</v>
          </cell>
          <cell r="G1265" t="str">
            <v>0557</v>
          </cell>
          <cell r="H1265" t="str">
            <v>Sapucaia do Sul Urbana</v>
          </cell>
          <cell r="I1265" t="str">
            <v>Valor Passagem</v>
          </cell>
          <cell r="J1265">
            <v>2.75</v>
          </cell>
        </row>
        <row r="1266">
          <cell r="A1266" t="str">
            <v>TV VALE TRANSPORTE 0601 SEM JORNADA</v>
          </cell>
          <cell r="B1266" t="str">
            <v>TV VALE TRANSPORTE</v>
          </cell>
          <cell r="C1266" t="str">
            <v>Tabela de Valores Vale Transporte</v>
          </cell>
          <cell r="D1266" t="str">
            <v>SEM JORNADA</v>
          </cell>
          <cell r="E1266">
            <v>41699</v>
          </cell>
          <cell r="G1266" t="str">
            <v>0601</v>
          </cell>
          <cell r="H1266" t="str">
            <v>Guaíba - Medianeira</v>
          </cell>
          <cell r="I1266" t="str">
            <v>Valor Passagem</v>
          </cell>
          <cell r="J1266">
            <v>3</v>
          </cell>
        </row>
        <row r="1267">
          <cell r="A1267" t="str">
            <v>TV VALE TRANSPORTE 0602 SEM JORNADA</v>
          </cell>
          <cell r="B1267" t="str">
            <v>TV VALE TRANSPORTE</v>
          </cell>
          <cell r="C1267" t="str">
            <v>Tabela de Valores Vale Transporte</v>
          </cell>
          <cell r="D1267" t="str">
            <v>SEM JORNADA</v>
          </cell>
          <cell r="E1267">
            <v>41699</v>
          </cell>
          <cell r="G1267" t="str">
            <v>0602</v>
          </cell>
          <cell r="H1267" t="str">
            <v>Guaíba - Santa Rita</v>
          </cell>
          <cell r="I1267" t="str">
            <v>Valor Passagem</v>
          </cell>
          <cell r="J1267">
            <v>3.85</v>
          </cell>
        </row>
        <row r="1268">
          <cell r="A1268" t="str">
            <v>TV VALE TRANSPORTE 0603 SEM JORNADA</v>
          </cell>
          <cell r="B1268" t="str">
            <v>TV VALE TRANSPORTE</v>
          </cell>
          <cell r="C1268" t="str">
            <v>Tabela de Valores Vale Transporte</v>
          </cell>
          <cell r="D1268" t="str">
            <v>SEM JORNADA</v>
          </cell>
          <cell r="E1268">
            <v>41699</v>
          </cell>
          <cell r="G1268" t="str">
            <v>0603</v>
          </cell>
          <cell r="H1268" t="str">
            <v>Guaíba-S Franc-B Fim</v>
          </cell>
          <cell r="I1268" t="str">
            <v>Valor Passagem</v>
          </cell>
          <cell r="J1268">
            <v>3.5</v>
          </cell>
        </row>
        <row r="1269">
          <cell r="A1269" t="str">
            <v>TV VALE TRANSPORTE 0604 SEM JORNADA</v>
          </cell>
          <cell r="B1269" t="str">
            <v>TV VALE TRANSPORTE</v>
          </cell>
          <cell r="C1269" t="str">
            <v>Tabela de Valores Vale Transporte</v>
          </cell>
          <cell r="D1269" t="str">
            <v>SEM JORNADA</v>
          </cell>
          <cell r="E1269">
            <v>41699</v>
          </cell>
          <cell r="G1269" t="str">
            <v>0604</v>
          </cell>
          <cell r="H1269" t="str">
            <v>Guaíba-Eldor Br116</v>
          </cell>
          <cell r="I1269" t="str">
            <v>Valor Passagem</v>
          </cell>
          <cell r="J1269">
            <v>3.3</v>
          </cell>
        </row>
        <row r="1270">
          <cell r="A1270" t="str">
            <v>TV VALE TRANSPORTE 0605 SEM JORNADA</v>
          </cell>
          <cell r="B1270" t="str">
            <v>TV VALE TRANSPORTE</v>
          </cell>
          <cell r="C1270" t="str">
            <v>Tabela de Valores Vale Transporte</v>
          </cell>
          <cell r="D1270" t="str">
            <v>SEM JORNADA</v>
          </cell>
          <cell r="E1270">
            <v>41699</v>
          </cell>
          <cell r="G1270" t="str">
            <v>0605</v>
          </cell>
          <cell r="H1270" t="str">
            <v>Guaíba-Cast  Branco</v>
          </cell>
          <cell r="I1270" t="str">
            <v>Valor Passagem</v>
          </cell>
          <cell r="J1270">
            <v>6.9</v>
          </cell>
        </row>
        <row r="1271">
          <cell r="A1271" t="str">
            <v>TV VALE TRANSPORTE 0606 SEM JORNADA</v>
          </cell>
          <cell r="B1271" t="str">
            <v>TV VALE TRANSPORTE</v>
          </cell>
          <cell r="C1271" t="str">
            <v>Tabela de Valores Vale Transporte</v>
          </cell>
          <cell r="D1271" t="str">
            <v>SEM JORNADA</v>
          </cell>
          <cell r="E1271">
            <v>41699</v>
          </cell>
          <cell r="G1271" t="str">
            <v>0606</v>
          </cell>
          <cell r="H1271" t="str">
            <v>B Ribeiro - Guaíba</v>
          </cell>
          <cell r="I1271" t="str">
            <v>Valor Passagem</v>
          </cell>
          <cell r="J1271">
            <v>5.25</v>
          </cell>
        </row>
        <row r="1272">
          <cell r="A1272" t="str">
            <v>TV VALE TRANSPORTE 0607 SEM JORNADA</v>
          </cell>
          <cell r="B1272" t="str">
            <v>TV VALE TRANSPORTE</v>
          </cell>
          <cell r="C1272" t="str">
            <v>Tabela de Valores Vale Transporte</v>
          </cell>
          <cell r="D1272" t="str">
            <v>SEM JORNADA</v>
          </cell>
          <cell r="E1272">
            <v>41699</v>
          </cell>
          <cell r="G1272" t="str">
            <v>0607</v>
          </cell>
          <cell r="H1272" t="str">
            <v>Barra do Ribeiro</v>
          </cell>
          <cell r="I1272" t="str">
            <v>Valor Passagem</v>
          </cell>
          <cell r="J1272">
            <v>11.15</v>
          </cell>
        </row>
        <row r="1273">
          <cell r="A1273" t="str">
            <v>TV VALE TRANSPORTE 0612 SEM JORNADA</v>
          </cell>
          <cell r="B1273" t="str">
            <v>TV VALE TRANSPORTE</v>
          </cell>
          <cell r="C1273" t="str">
            <v>Tabela de Valores Vale Transporte</v>
          </cell>
          <cell r="D1273" t="str">
            <v>SEM JORNADA</v>
          </cell>
          <cell r="E1273">
            <v>41699</v>
          </cell>
          <cell r="G1273" t="str">
            <v>0612</v>
          </cell>
          <cell r="H1273" t="str">
            <v>Porto Alegre Santa Rita</v>
          </cell>
          <cell r="I1273" t="str">
            <v>Valor Passagem</v>
          </cell>
          <cell r="J1273">
            <v>5.7</v>
          </cell>
        </row>
        <row r="1274">
          <cell r="A1274" t="str">
            <v>TV VALE TRANSPORTE 0614 SEM JORNADA</v>
          </cell>
          <cell r="B1274" t="str">
            <v>TV VALE TRANSPORTE</v>
          </cell>
          <cell r="C1274" t="str">
            <v>Tabela de Valores Vale Transporte</v>
          </cell>
          <cell r="D1274" t="str">
            <v>SEM JORNADA</v>
          </cell>
          <cell r="E1274">
            <v>41699</v>
          </cell>
          <cell r="G1274" t="str">
            <v>0614</v>
          </cell>
          <cell r="H1274" t="str">
            <v>Eldorado do Sul/Porto Alegre</v>
          </cell>
          <cell r="I1274" t="str">
            <v>Valor Passagem</v>
          </cell>
          <cell r="J1274">
            <v>4.2</v>
          </cell>
        </row>
        <row r="1275">
          <cell r="A1275" t="str">
            <v>TV VALE TRANSPORTE 0615 SEM JORNADA</v>
          </cell>
          <cell r="B1275" t="str">
            <v>TV VALE TRANSPORTE</v>
          </cell>
          <cell r="C1275" t="str">
            <v>Tabela de Valores Vale Transporte</v>
          </cell>
          <cell r="D1275" t="str">
            <v>SEM JORNADA</v>
          </cell>
          <cell r="E1275">
            <v>41699</v>
          </cell>
          <cell r="G1275" t="str">
            <v>0615</v>
          </cell>
          <cell r="H1275" t="str">
            <v>P. Alegre-Ulbra-Guaíba (Rio Guaíba)</v>
          </cell>
          <cell r="I1275" t="str">
            <v>Valor Passagem</v>
          </cell>
          <cell r="J1275">
            <v>5.25</v>
          </cell>
        </row>
        <row r="1276">
          <cell r="A1276" t="str">
            <v>TV VALE TRANSPORTE 0617 SEM JORNADA</v>
          </cell>
          <cell r="B1276" t="str">
            <v>TV VALE TRANSPORTE</v>
          </cell>
          <cell r="C1276" t="str">
            <v>Tabela de Valores Vale Transporte</v>
          </cell>
          <cell r="D1276" t="str">
            <v>SEM JORNADA</v>
          </cell>
          <cell r="E1276">
            <v>41699</v>
          </cell>
          <cell r="G1276" t="str">
            <v>0617</v>
          </cell>
          <cell r="H1276" t="str">
            <v>Guaíba-Selet Metrop</v>
          </cell>
          <cell r="I1276" t="str">
            <v>Valor Passagem</v>
          </cell>
          <cell r="J1276">
            <v>6.25</v>
          </cell>
        </row>
        <row r="1277">
          <cell r="A1277" t="str">
            <v>TV VALE TRANSPORTE 0618 SEM JORNADA</v>
          </cell>
          <cell r="B1277" t="str">
            <v>TV VALE TRANSPORTE</v>
          </cell>
          <cell r="C1277" t="str">
            <v>Tabela de Valores Vale Transporte</v>
          </cell>
          <cell r="D1277" t="str">
            <v>SEM JORNADA</v>
          </cell>
          <cell r="E1277">
            <v>41699</v>
          </cell>
          <cell r="G1277" t="str">
            <v>0618</v>
          </cell>
          <cell r="H1277" t="str">
            <v>P.Alegre/Florida</v>
          </cell>
          <cell r="I1277" t="str">
            <v>Valor Passagem</v>
          </cell>
          <cell r="J1277">
            <v>4.65</v>
          </cell>
        </row>
        <row r="1278">
          <cell r="A1278" t="str">
            <v>TV VALE TRANSPORTE 0623 SEM JORNADA</v>
          </cell>
          <cell r="B1278" t="str">
            <v>TV VALE TRANSPORTE</v>
          </cell>
          <cell r="C1278" t="str">
            <v>Tabela de Valores Vale Transporte</v>
          </cell>
          <cell r="D1278" t="str">
            <v>SEM JORNADA</v>
          </cell>
          <cell r="E1278">
            <v>41699</v>
          </cell>
          <cell r="G1278" t="str">
            <v>0623</v>
          </cell>
          <cell r="H1278" t="str">
            <v>P.Alegre-Fátima (Guaíba)</v>
          </cell>
          <cell r="I1278" t="str">
            <v>Valor Passagem</v>
          </cell>
          <cell r="J1278">
            <v>4.05</v>
          </cell>
        </row>
        <row r="1279">
          <cell r="A1279" t="str">
            <v>TV VALE TRANSPORTE 0624 SEM JORNADA</v>
          </cell>
          <cell r="B1279" t="str">
            <v>TV VALE TRANSPORTE</v>
          </cell>
          <cell r="C1279" t="str">
            <v>Tabela de Valores Vale Transporte</v>
          </cell>
          <cell r="D1279" t="str">
            <v>SEM JORNADA</v>
          </cell>
          <cell r="E1279">
            <v>41699</v>
          </cell>
          <cell r="G1279" t="str">
            <v>0624</v>
          </cell>
          <cell r="H1279" t="str">
            <v>Rio Guaíba-Fátima Executivo</v>
          </cell>
          <cell r="I1279" t="str">
            <v>Valor Passagem</v>
          </cell>
          <cell r="J1279">
            <v>5.55</v>
          </cell>
        </row>
        <row r="1280">
          <cell r="A1280" t="str">
            <v>TV VALE TRANSPORTE 0651 SEM JORNADA</v>
          </cell>
          <cell r="B1280" t="str">
            <v>TV VALE TRANSPORTE</v>
          </cell>
          <cell r="C1280" t="str">
            <v>Tabela de Valores Vale Transporte</v>
          </cell>
          <cell r="D1280" t="str">
            <v>SEM JORNADA</v>
          </cell>
          <cell r="E1280">
            <v>41699</v>
          </cell>
          <cell r="G1280" t="str">
            <v>0651</v>
          </cell>
          <cell r="H1280" t="str">
            <v>Guaíba - Urbano</v>
          </cell>
          <cell r="I1280" t="str">
            <v>Valor Passagem</v>
          </cell>
          <cell r="J1280">
            <v>2.8</v>
          </cell>
        </row>
        <row r="1281">
          <cell r="A1281" t="str">
            <v>TV VALE TRANSPORTE 0674 SEM JORNADA</v>
          </cell>
          <cell r="B1281" t="str">
            <v>TV VALE TRANSPORTE</v>
          </cell>
          <cell r="C1281" t="str">
            <v>Tabela de Valores Vale Transporte</v>
          </cell>
          <cell r="D1281" t="str">
            <v>SEM JORNADA</v>
          </cell>
          <cell r="E1281">
            <v>41699</v>
          </cell>
          <cell r="G1281" t="str">
            <v>0674</v>
          </cell>
          <cell r="H1281" t="str">
            <v>Triunfo-Montenegro-Fátima Transp. e turismo</v>
          </cell>
          <cell r="I1281" t="str">
            <v>Valor Passagem</v>
          </cell>
          <cell r="J1281">
            <v>4.9</v>
          </cell>
        </row>
        <row r="1282">
          <cell r="A1282" t="str">
            <v>TV VALE TRANSPORTE 0675 SEM JORNADA</v>
          </cell>
          <cell r="B1282" t="str">
            <v>TV VALE TRANSPORTE</v>
          </cell>
          <cell r="C1282" t="str">
            <v>Tabela de Valores Vale Transporte</v>
          </cell>
          <cell r="D1282" t="str">
            <v>SEM JORNADA</v>
          </cell>
          <cell r="E1282">
            <v>41699</v>
          </cell>
          <cell r="G1282" t="str">
            <v>0675</v>
          </cell>
          <cell r="H1282" t="str">
            <v>Triunfo-Taquari / Empresa Fátima</v>
          </cell>
          <cell r="I1282" t="str">
            <v>Valor Passagem</v>
          </cell>
          <cell r="J1282">
            <v>8.05</v>
          </cell>
        </row>
        <row r="1283">
          <cell r="A1283" t="str">
            <v>TV VALE TRANSPORTE 0676 SEM JORNADA</v>
          </cell>
          <cell r="B1283" t="str">
            <v>TV VALE TRANSPORTE</v>
          </cell>
          <cell r="C1283" t="str">
            <v>Tabela de Valores Vale Transporte</v>
          </cell>
          <cell r="D1283" t="str">
            <v>SEM JORNADA</v>
          </cell>
          <cell r="E1283">
            <v>41699</v>
          </cell>
          <cell r="G1283" t="str">
            <v>0676</v>
          </cell>
          <cell r="H1283" t="str">
            <v>Taquari/Canoas ¿ Semi direto (Fátima)</v>
          </cell>
          <cell r="I1283" t="str">
            <v>Valor Passagem</v>
          </cell>
          <cell r="J1283">
            <v>16.2</v>
          </cell>
        </row>
        <row r="1284">
          <cell r="A1284" t="str">
            <v>TV VALE TRANSPORTE 0720 SEM JORNADA</v>
          </cell>
          <cell r="B1284" t="str">
            <v>TV VALE TRANSPORTE</v>
          </cell>
          <cell r="C1284" t="str">
            <v>Tabela de Valores Vale Transporte</v>
          </cell>
          <cell r="D1284" t="str">
            <v>SEM JORNADA</v>
          </cell>
          <cell r="E1284">
            <v>41699</v>
          </cell>
          <cell r="G1284" t="str">
            <v>0720</v>
          </cell>
          <cell r="H1284" t="str">
            <v>Sapiranga-Novo Hamburgo-Empresa Citral</v>
          </cell>
          <cell r="I1284" t="str">
            <v>Valor Passagem</v>
          </cell>
          <cell r="J1284">
            <v>3.15</v>
          </cell>
        </row>
        <row r="1285">
          <cell r="A1285" t="str">
            <v>TV VALE TRANSPORTE 0721 SEM JORNADA</v>
          </cell>
          <cell r="B1285" t="str">
            <v>TV VALE TRANSPORTE</v>
          </cell>
          <cell r="C1285" t="str">
            <v>Tabela de Valores Vale Transporte</v>
          </cell>
          <cell r="D1285" t="str">
            <v>SEM JORNADA</v>
          </cell>
          <cell r="E1285">
            <v>41699</v>
          </cell>
          <cell r="G1285" t="str">
            <v>0721</v>
          </cell>
          <cell r="H1285" t="str">
            <v>Porto Alegre-Sapiranga / Citral</v>
          </cell>
          <cell r="I1285" t="str">
            <v>Valor Passagem</v>
          </cell>
          <cell r="J1285">
            <v>12.9</v>
          </cell>
        </row>
        <row r="1286">
          <cell r="A1286" t="str">
            <v>TV VALE TRANSPORTE 0763 SEM JORNADA</v>
          </cell>
          <cell r="B1286" t="str">
            <v>TV VALE TRANSPORTE</v>
          </cell>
          <cell r="C1286" t="str">
            <v>Tabela de Valores Vale Transporte</v>
          </cell>
          <cell r="D1286" t="str">
            <v>SEM JORNADA</v>
          </cell>
          <cell r="E1286">
            <v>41699</v>
          </cell>
          <cell r="G1286" t="str">
            <v>0763</v>
          </cell>
          <cell r="H1286" t="str">
            <v>Porto Alegre-Imbé (Unesul)</v>
          </cell>
          <cell r="I1286" t="str">
            <v>Valor Passagem</v>
          </cell>
          <cell r="J1286">
            <v>19.3</v>
          </cell>
        </row>
        <row r="1287">
          <cell r="A1287" t="str">
            <v>TV VALE TRANSPORTE 0764 SEM JORNADA</v>
          </cell>
          <cell r="B1287" t="str">
            <v>TV VALE TRANSPORTE</v>
          </cell>
          <cell r="C1287" t="str">
            <v>Tabela de Valores Vale Transporte</v>
          </cell>
          <cell r="D1287" t="str">
            <v>SEM JORNADA</v>
          </cell>
          <cell r="E1287">
            <v>41699</v>
          </cell>
          <cell r="G1287" t="str">
            <v>0764</v>
          </cell>
          <cell r="H1287" t="str">
            <v>Porto Alegre / Capão da Canoa (Unesul)</v>
          </cell>
          <cell r="I1287" t="str">
            <v>Valor Passagem</v>
          </cell>
          <cell r="J1287">
            <v>25.65</v>
          </cell>
        </row>
        <row r="1288">
          <cell r="A1288" t="str">
            <v>TV VALE TRANSPORTE 0789 SEM JORNADA</v>
          </cell>
          <cell r="B1288" t="str">
            <v>TV VALE TRANSPORTE</v>
          </cell>
          <cell r="C1288" t="str">
            <v>Tabela de Valores Vale Transporte</v>
          </cell>
          <cell r="D1288" t="str">
            <v>SEM JORNADA</v>
          </cell>
          <cell r="E1288">
            <v>41699</v>
          </cell>
          <cell r="G1288" t="str">
            <v>0789</v>
          </cell>
          <cell r="H1288" t="str">
            <v>Tapes-Camaquã</v>
          </cell>
          <cell r="I1288" t="str">
            <v>Valor Passagem</v>
          </cell>
          <cell r="J1288">
            <v>14.15</v>
          </cell>
        </row>
        <row r="1289">
          <cell r="A1289" t="str">
            <v>TV VALE TRANSPORTE 0800 SEM JORNADA</v>
          </cell>
          <cell r="B1289" t="str">
            <v>TV VALE TRANSPORTE</v>
          </cell>
          <cell r="C1289" t="str">
            <v>Tabela de Valores Vale Transporte</v>
          </cell>
          <cell r="D1289" t="str">
            <v>SEM JORNADA</v>
          </cell>
          <cell r="E1289">
            <v>41699</v>
          </cell>
          <cell r="G1289" t="str">
            <v>0800</v>
          </cell>
          <cell r="H1289" t="str">
            <v>B.Vista, M.Grande, Pimenta/Sta.Isabel</v>
          </cell>
          <cell r="I1289" t="str">
            <v>Valor Passagem</v>
          </cell>
          <cell r="J1289">
            <v>3.6</v>
          </cell>
        </row>
        <row r="1290">
          <cell r="A1290" t="str">
            <v>TV VALE TRANSPORTE 0801 SEM JORNADA</v>
          </cell>
          <cell r="B1290" t="str">
            <v>TV VALE TRANSPORTE</v>
          </cell>
          <cell r="C1290" t="str">
            <v>Tabela de Valores Vale Transporte</v>
          </cell>
          <cell r="D1290" t="str">
            <v>SEM JORNADA</v>
          </cell>
          <cell r="E1290">
            <v>41699</v>
          </cell>
          <cell r="G1290" t="str">
            <v>0801</v>
          </cell>
          <cell r="H1290" t="str">
            <v>M Alegre-Sta Isabel</v>
          </cell>
          <cell r="I1290" t="str">
            <v>Valor Passagem</v>
          </cell>
          <cell r="J1290">
            <v>3.15</v>
          </cell>
        </row>
        <row r="1291">
          <cell r="A1291" t="str">
            <v>TV VALE TRANSPORTE 0802 SEM JORNADA</v>
          </cell>
          <cell r="B1291" t="str">
            <v>TV VALE TRANSPORTE</v>
          </cell>
          <cell r="C1291" t="str">
            <v>Tabela de Valores Vale Transporte</v>
          </cell>
          <cell r="D1291" t="str">
            <v>SEM JORNADA</v>
          </cell>
          <cell r="E1291">
            <v>41699</v>
          </cell>
          <cell r="G1291" t="str">
            <v>0802</v>
          </cell>
          <cell r="H1291" t="str">
            <v>P. Alegre/Taquara/Sapiranga (Citral)</v>
          </cell>
          <cell r="I1291" t="str">
            <v>Valor Passagem</v>
          </cell>
          <cell r="J1291">
            <v>12.2</v>
          </cell>
        </row>
        <row r="1292">
          <cell r="A1292" t="str">
            <v>TV VALE TRANSPORTE 0813 SEM JORNADA</v>
          </cell>
          <cell r="B1292" t="str">
            <v>TV VALE TRANSPORTE</v>
          </cell>
          <cell r="C1292" t="str">
            <v>Tabela de Valores Vale Transporte</v>
          </cell>
          <cell r="D1292" t="str">
            <v>SEM JORNADA</v>
          </cell>
          <cell r="E1292">
            <v>41699</v>
          </cell>
          <cell r="G1292" t="str">
            <v>0813</v>
          </cell>
          <cell r="H1292" t="str">
            <v>Gal Camara/POA - Expresso Vitória</v>
          </cell>
          <cell r="I1292" t="str">
            <v>Valor Passagem</v>
          </cell>
          <cell r="J1292">
            <v>13</v>
          </cell>
        </row>
        <row r="1293">
          <cell r="A1293" t="str">
            <v>TV VALE TRANSPORTE 0819 SEM JORNADA</v>
          </cell>
          <cell r="B1293" t="str">
            <v>TV VALE TRANSPORTE</v>
          </cell>
          <cell r="C1293" t="str">
            <v>Tabela de Valores Vale Transporte</v>
          </cell>
          <cell r="D1293" t="str">
            <v>SEM JORNADA</v>
          </cell>
          <cell r="E1293">
            <v>41699</v>
          </cell>
          <cell r="G1293" t="str">
            <v>0819</v>
          </cell>
          <cell r="H1293" t="str">
            <v>Caxias-Bento Gonçalves (Ozelame)</v>
          </cell>
          <cell r="I1293" t="str">
            <v>Valor Passagem</v>
          </cell>
          <cell r="J1293">
            <v>7.15</v>
          </cell>
        </row>
        <row r="1294">
          <cell r="A1294" t="str">
            <v>TV VALE TRANSPORTE 0820 SEM JORNADA</v>
          </cell>
          <cell r="B1294" t="str">
            <v>TV VALE TRANSPORTE</v>
          </cell>
          <cell r="C1294" t="str">
            <v>Tabela de Valores Vale Transporte</v>
          </cell>
          <cell r="D1294" t="str">
            <v>SEM JORNADA</v>
          </cell>
          <cell r="E1294">
            <v>41699</v>
          </cell>
          <cell r="G1294" t="str">
            <v>0820</v>
          </cell>
          <cell r="H1294" t="str">
            <v>N Hamburgo-Urbano</v>
          </cell>
          <cell r="I1294" t="str">
            <v>Valor Passagem</v>
          </cell>
          <cell r="J1294">
            <v>2.65</v>
          </cell>
        </row>
        <row r="1295">
          <cell r="A1295" t="str">
            <v>TV VALE TRANSPORTE 0821 SEM JORNADA</v>
          </cell>
          <cell r="B1295" t="str">
            <v>TV VALE TRANSPORTE</v>
          </cell>
          <cell r="C1295" t="str">
            <v>Tabela de Valores Vale Transporte</v>
          </cell>
          <cell r="D1295" t="str">
            <v>SEM JORNADA</v>
          </cell>
          <cell r="E1295">
            <v>41699</v>
          </cell>
          <cell r="G1295" t="str">
            <v>0821</v>
          </cell>
          <cell r="H1295" t="str">
            <v>Residencial Sol Nascente - Novo Hamburgo via Rincão dos Ilhéus</v>
          </cell>
          <cell r="I1295" t="str">
            <v>Valor Passagem</v>
          </cell>
          <cell r="J1295">
            <v>2.4</v>
          </cell>
        </row>
        <row r="1296">
          <cell r="A1296" t="str">
            <v>TV VALE TRANSPORTE 0840 SEM JORNADA</v>
          </cell>
          <cell r="B1296" t="str">
            <v>TV VALE TRANSPORTE</v>
          </cell>
          <cell r="C1296" t="str">
            <v>Tabela de Valores Vale Transporte</v>
          </cell>
          <cell r="D1296" t="str">
            <v>SEM JORNADA</v>
          </cell>
          <cell r="E1296">
            <v>41699</v>
          </cell>
          <cell r="G1296" t="str">
            <v>0840</v>
          </cell>
          <cell r="H1296" t="str">
            <v>Futura</v>
          </cell>
          <cell r="I1296" t="str">
            <v>Valor Passagem</v>
          </cell>
          <cell r="J1296">
            <v>2.5</v>
          </cell>
        </row>
        <row r="1297">
          <cell r="A1297" t="str">
            <v>TV VALE TRANSPORTE 0899 SEM JORNADA</v>
          </cell>
          <cell r="B1297" t="str">
            <v>TV VALE TRANSPORTE</v>
          </cell>
          <cell r="C1297" t="str">
            <v>Tabela de Valores Vale Transporte</v>
          </cell>
          <cell r="D1297" t="str">
            <v>SEM JORNADA</v>
          </cell>
          <cell r="E1297">
            <v>41699</v>
          </cell>
          <cell r="G1297" t="str">
            <v>0899</v>
          </cell>
          <cell r="H1297" t="str">
            <v>N.Hamburgo/Sta Maria/NH (Viação Sta. Cruz)</v>
          </cell>
          <cell r="I1297" t="str">
            <v>Valor Passagem</v>
          </cell>
          <cell r="J1297">
            <v>62.5</v>
          </cell>
        </row>
        <row r="1298">
          <cell r="A1298" t="str">
            <v>TV VALE TRANSPORTE 0900 SEM JORNADA</v>
          </cell>
          <cell r="B1298" t="str">
            <v>TV VALE TRANSPORTE</v>
          </cell>
          <cell r="C1298" t="str">
            <v>Tabela de Valores Vale Transporte</v>
          </cell>
          <cell r="D1298" t="str">
            <v>SEM JORNADA</v>
          </cell>
          <cell r="E1298">
            <v>41699</v>
          </cell>
          <cell r="G1298" t="str">
            <v>0900</v>
          </cell>
          <cell r="H1298" t="str">
            <v>Novo Hamburgo/São Leopoldo (Citral)</v>
          </cell>
          <cell r="I1298" t="str">
            <v>Valor Passagem</v>
          </cell>
          <cell r="J1298">
            <v>3.45</v>
          </cell>
        </row>
        <row r="1299">
          <cell r="A1299" t="str">
            <v>TV VALE TRANSPORTE 0901 SEM JORNADA</v>
          </cell>
          <cell r="B1299" t="str">
            <v>TV VALE TRANSPORTE</v>
          </cell>
          <cell r="C1299" t="str">
            <v>Tabela de Valores Vale Transporte</v>
          </cell>
          <cell r="D1299" t="str">
            <v>SEM JORNADA</v>
          </cell>
          <cell r="E1299">
            <v>41699</v>
          </cell>
          <cell r="G1299" t="str">
            <v>0901</v>
          </cell>
          <cell r="H1299" t="str">
            <v>Novo Hamburgo/ Canoas/ Feitoria</v>
          </cell>
          <cell r="I1299" t="str">
            <v>Valor Passagem</v>
          </cell>
          <cell r="J1299">
            <v>2.8</v>
          </cell>
        </row>
        <row r="1300">
          <cell r="A1300" t="str">
            <v>TV VALE TRANSPORTE 0902 SEM JORNADA</v>
          </cell>
          <cell r="B1300" t="str">
            <v>TV VALE TRANSPORTE</v>
          </cell>
          <cell r="C1300" t="str">
            <v>Tabela de Valores Vale Transporte</v>
          </cell>
          <cell r="D1300" t="str">
            <v>SEM JORNADA</v>
          </cell>
          <cell r="E1300">
            <v>41699</v>
          </cell>
          <cell r="G1300" t="str">
            <v>0902</v>
          </cell>
          <cell r="H1300" t="str">
            <v>Porto Alegre Novo Hamburgo</v>
          </cell>
          <cell r="I1300" t="str">
            <v>Valor Passagem</v>
          </cell>
          <cell r="J1300">
            <v>5.45</v>
          </cell>
        </row>
        <row r="1301">
          <cell r="A1301" t="str">
            <v>TV VALE TRANSPORTE 0903 SEM JORNADA</v>
          </cell>
          <cell r="B1301" t="str">
            <v>TV VALE TRANSPORTE</v>
          </cell>
          <cell r="C1301" t="str">
            <v>Tabela de Valores Vale Transporte</v>
          </cell>
          <cell r="D1301" t="str">
            <v>SEM JORNADA</v>
          </cell>
          <cell r="E1301">
            <v>41699</v>
          </cell>
          <cell r="G1301" t="str">
            <v>0903</v>
          </cell>
          <cell r="H1301" t="str">
            <v>Rio Pardo-Sta Cruz-Viação União Santa Cruz</v>
          </cell>
          <cell r="I1301" t="str">
            <v>Valor Passagem</v>
          </cell>
          <cell r="J1301">
            <v>4.75</v>
          </cell>
        </row>
        <row r="1302">
          <cell r="A1302" t="str">
            <v>TV VALE TRANSPORTE 0904 SEM JORNADA</v>
          </cell>
          <cell r="B1302" t="str">
            <v>TV VALE TRANSPORTE</v>
          </cell>
          <cell r="C1302" t="str">
            <v>Tabela de Valores Vale Transporte</v>
          </cell>
          <cell r="D1302" t="str">
            <v>SEM JORNADA</v>
          </cell>
          <cell r="E1302">
            <v>41699</v>
          </cell>
          <cell r="G1302" t="str">
            <v>0904</v>
          </cell>
          <cell r="H1302" t="str">
            <v>P.Alegre/S.Leopoldo</v>
          </cell>
          <cell r="I1302" t="str">
            <v>Valor Passagem</v>
          </cell>
          <cell r="J1302">
            <v>3.15</v>
          </cell>
        </row>
        <row r="1303">
          <cell r="A1303" t="str">
            <v>TV VALE TRANSPORTE 0906 SEM JORNADA</v>
          </cell>
          <cell r="B1303" t="str">
            <v>TV VALE TRANSPORTE</v>
          </cell>
          <cell r="C1303" t="str">
            <v>Tabela de Valores Vale Transporte</v>
          </cell>
          <cell r="D1303" t="str">
            <v>SEM JORNADA</v>
          </cell>
          <cell r="E1303">
            <v>41699</v>
          </cell>
          <cell r="G1303" t="str">
            <v>0906</v>
          </cell>
          <cell r="H1303" t="str">
            <v>Estância Velha/Novo Hamburgo-Socaltur</v>
          </cell>
          <cell r="I1303" t="str">
            <v>Valor Passagem</v>
          </cell>
          <cell r="J1303">
            <v>2.15</v>
          </cell>
        </row>
        <row r="1304">
          <cell r="A1304" t="str">
            <v>TV VALE TRANSPORTE 0907 SEM JORNADA</v>
          </cell>
          <cell r="B1304" t="str">
            <v>TV VALE TRANSPORTE</v>
          </cell>
          <cell r="C1304" t="str">
            <v>Tabela de Valores Vale Transporte</v>
          </cell>
          <cell r="D1304" t="str">
            <v>SEM JORNADA</v>
          </cell>
          <cell r="E1304">
            <v>41699</v>
          </cell>
          <cell r="G1304" t="str">
            <v>0907</v>
          </cell>
          <cell r="H1304" t="str">
            <v>Esteio Sapucaia Novo Hamburgo Feitoria</v>
          </cell>
          <cell r="I1304" t="str">
            <v>Valor Passagem</v>
          </cell>
          <cell r="J1304">
            <v>2.85</v>
          </cell>
        </row>
        <row r="1305">
          <cell r="A1305" t="str">
            <v>TV VALE TRANSPORTE 0908 SEM JORNADA</v>
          </cell>
          <cell r="B1305" t="str">
            <v>TV VALE TRANSPORTE</v>
          </cell>
          <cell r="C1305" t="str">
            <v>Tabela de Valores Vale Transporte</v>
          </cell>
          <cell r="D1305" t="str">
            <v>SEM JORNADA</v>
          </cell>
          <cell r="E1305">
            <v>41699</v>
          </cell>
          <cell r="G1305" t="str">
            <v>0908</v>
          </cell>
          <cell r="H1305" t="str">
            <v>Esteio-S Leopoldo</v>
          </cell>
          <cell r="I1305" t="str">
            <v>Valor Passagem</v>
          </cell>
          <cell r="J1305">
            <v>2.65</v>
          </cell>
        </row>
        <row r="1306">
          <cell r="A1306" t="str">
            <v>TV VALE TRANSPORTE 0909 SEM JORNADA</v>
          </cell>
          <cell r="B1306" t="str">
            <v>TV VALE TRANSPORTE</v>
          </cell>
          <cell r="C1306" t="str">
            <v>Tabela de Valores Vale Transporte</v>
          </cell>
          <cell r="D1306" t="str">
            <v>SEM JORNADA</v>
          </cell>
          <cell r="E1306">
            <v>41699</v>
          </cell>
          <cell r="G1306" t="str">
            <v>0909</v>
          </cell>
          <cell r="H1306" t="str">
            <v>N Hamburgo-Direto</v>
          </cell>
          <cell r="I1306" t="str">
            <v>Valor Passagem</v>
          </cell>
          <cell r="J1306">
            <v>8.2</v>
          </cell>
        </row>
        <row r="1307">
          <cell r="A1307" t="str">
            <v>TV VALE TRANSPORTE 0910 SEM JORNADA</v>
          </cell>
          <cell r="B1307" t="str">
            <v>TV VALE TRANSPORTE</v>
          </cell>
          <cell r="C1307" t="str">
            <v>Tabela de Valores Vale Transporte</v>
          </cell>
          <cell r="D1307" t="str">
            <v>SEM JORNADA</v>
          </cell>
          <cell r="E1307">
            <v>41699</v>
          </cell>
          <cell r="G1307" t="str">
            <v>0910</v>
          </cell>
          <cell r="H1307" t="str">
            <v>Novo Hamburgo/ São Leopoldpo</v>
          </cell>
          <cell r="I1307" t="str">
            <v>Valor Passagem</v>
          </cell>
          <cell r="J1307">
            <v>3.4</v>
          </cell>
        </row>
        <row r="1308">
          <cell r="A1308" t="str">
            <v>TV VALE TRANSPORTE 0911 SEM JORNADA</v>
          </cell>
          <cell r="B1308" t="str">
            <v>TV VALE TRANSPORTE</v>
          </cell>
          <cell r="C1308" t="str">
            <v>Tabela de Valores Vale Transporte</v>
          </cell>
          <cell r="D1308" t="str">
            <v>SEM JORNADA</v>
          </cell>
          <cell r="E1308">
            <v>41699</v>
          </cell>
          <cell r="G1308" t="str">
            <v>0911</v>
          </cell>
          <cell r="H1308" t="str">
            <v>São Leopoldo-Direto</v>
          </cell>
          <cell r="I1308" t="str">
            <v>Valor Passagem</v>
          </cell>
          <cell r="J1308">
            <v>6.75</v>
          </cell>
        </row>
        <row r="1309">
          <cell r="A1309" t="str">
            <v>TV VALE TRANSPORTE 0912 SEM JORNADA</v>
          </cell>
          <cell r="B1309" t="str">
            <v>TV VALE TRANSPORTE</v>
          </cell>
          <cell r="C1309" t="str">
            <v>Tabela de Valores Vale Transporte</v>
          </cell>
          <cell r="D1309" t="str">
            <v>SEM JORNADA</v>
          </cell>
          <cell r="E1309">
            <v>41699</v>
          </cell>
          <cell r="G1309" t="str">
            <v>0912</v>
          </cell>
          <cell r="H1309" t="str">
            <v>Estância Velha - Novo Hamburgo (Viação Montenegro)</v>
          </cell>
          <cell r="I1309" t="str">
            <v>Valor Passagem</v>
          </cell>
          <cell r="J1309">
            <v>2.4</v>
          </cell>
        </row>
        <row r="1310">
          <cell r="A1310" t="str">
            <v>TV VALE TRANSPORTE 0917 SEM JORNADA</v>
          </cell>
          <cell r="B1310" t="str">
            <v>TV VALE TRANSPORTE</v>
          </cell>
          <cell r="C1310" t="str">
            <v>Tabela de Valores Vale Transporte</v>
          </cell>
          <cell r="D1310" t="str">
            <v>SEM JORNADA</v>
          </cell>
          <cell r="E1310">
            <v>41699</v>
          </cell>
          <cell r="G1310" t="str">
            <v>0917</v>
          </cell>
          <cell r="H1310" t="str">
            <v>Feitoria Seller-S Leopoldo (Viação Feitoria)</v>
          </cell>
          <cell r="I1310" t="str">
            <v>Valor Passagem</v>
          </cell>
          <cell r="J1310">
            <v>2.7</v>
          </cell>
        </row>
        <row r="1311">
          <cell r="A1311" t="str">
            <v>TV VALE TRANSPORTE 0918 SEM JORNADA</v>
          </cell>
          <cell r="B1311" t="str">
            <v>TV VALE TRANSPORTE</v>
          </cell>
          <cell r="C1311" t="str">
            <v>Tabela de Valores Vale Transporte</v>
          </cell>
          <cell r="D1311" t="str">
            <v>SEM JORNADA</v>
          </cell>
          <cell r="E1311">
            <v>41699</v>
          </cell>
          <cell r="G1311" t="str">
            <v>0918</v>
          </cell>
          <cell r="H1311" t="str">
            <v>Feitoria Lomba Grande-S Leopoldo (V. Feitoria)</v>
          </cell>
          <cell r="I1311" t="str">
            <v>Valor Passagem</v>
          </cell>
          <cell r="J1311">
            <v>2.55</v>
          </cell>
        </row>
        <row r="1312">
          <cell r="A1312" t="str">
            <v>TV VALE TRANSPORTE 0919 SEM JORNADA</v>
          </cell>
          <cell r="B1312" t="str">
            <v>TV VALE TRANSPORTE</v>
          </cell>
          <cell r="C1312" t="str">
            <v>Tabela de Valores Vale Transporte</v>
          </cell>
          <cell r="D1312" t="str">
            <v>SEM JORNADA</v>
          </cell>
          <cell r="E1312">
            <v>41699</v>
          </cell>
          <cell r="G1312" t="str">
            <v>0919</v>
          </cell>
          <cell r="H1312" t="str">
            <v>Caxias/São Leopoldo Semi Direto (Caxiense)</v>
          </cell>
          <cell r="I1312" t="str">
            <v>Valor Passagem</v>
          </cell>
          <cell r="J1312">
            <v>19.1</v>
          </cell>
        </row>
        <row r="1313">
          <cell r="A1313" t="str">
            <v>TV VALE TRANSPORTE 0920 SEM JORNADA</v>
          </cell>
          <cell r="B1313" t="str">
            <v>TV VALE TRANSPORTE</v>
          </cell>
          <cell r="C1313" t="str">
            <v>Tabela de Valores Vale Transporte</v>
          </cell>
          <cell r="D1313" t="str">
            <v>SEM JORNADA</v>
          </cell>
          <cell r="E1313">
            <v>41699</v>
          </cell>
          <cell r="G1313" t="str">
            <v>0920</v>
          </cell>
          <cell r="H1313" t="str">
            <v>São Leopoldo Urbana</v>
          </cell>
          <cell r="I1313" t="str">
            <v>Valor Passagem</v>
          </cell>
          <cell r="J1313">
            <v>2.5</v>
          </cell>
        </row>
        <row r="1314">
          <cell r="A1314" t="str">
            <v>TV VALE TRANSPORTE 0930 SEM JORNADA</v>
          </cell>
          <cell r="B1314" t="str">
            <v>TV VALE TRANSPORTE</v>
          </cell>
          <cell r="C1314" t="str">
            <v>Tabela de Valores Vale Transporte</v>
          </cell>
          <cell r="D1314" t="str">
            <v>SEM JORNADA</v>
          </cell>
          <cell r="E1314">
            <v>41699</v>
          </cell>
          <cell r="G1314" t="str">
            <v>0930</v>
          </cell>
          <cell r="H1314" t="str">
            <v>São Leoplodo Urbana</v>
          </cell>
          <cell r="I1314" t="str">
            <v>Valor Passagem</v>
          </cell>
          <cell r="J1314">
            <v>2.65</v>
          </cell>
        </row>
        <row r="1315">
          <cell r="A1315" t="str">
            <v>TV VALE TRANSPORTE 0931 SEM JORNADA</v>
          </cell>
          <cell r="B1315" t="str">
            <v>TV VALE TRANSPORTE</v>
          </cell>
          <cell r="C1315" t="str">
            <v>Tabela de Valores Vale Transporte</v>
          </cell>
          <cell r="D1315" t="str">
            <v>SEM JORNADA</v>
          </cell>
          <cell r="E1315">
            <v>41699</v>
          </cell>
          <cell r="G1315" t="str">
            <v>0931</v>
          </cell>
          <cell r="H1315" t="str">
            <v>São Leopoldo/Bom Princípio - Emp Bento</v>
          </cell>
          <cell r="I1315" t="str">
            <v>Valor Passagem</v>
          </cell>
          <cell r="J1315">
            <v>7</v>
          </cell>
        </row>
        <row r="1316">
          <cell r="A1316" t="str">
            <v>TV VALE TRANSPORTE 0932 SEM JORNADA</v>
          </cell>
          <cell r="B1316" t="str">
            <v>TV VALE TRANSPORTE</v>
          </cell>
          <cell r="C1316" t="str">
            <v>Tabela de Valores Vale Transporte</v>
          </cell>
          <cell r="D1316" t="str">
            <v>SEM JORNADA</v>
          </cell>
          <cell r="E1316">
            <v>41699</v>
          </cell>
          <cell r="G1316" t="str">
            <v>0932</v>
          </cell>
          <cell r="H1316" t="str">
            <v>Passo Fundo/São Leopoldo (Unesul)</v>
          </cell>
          <cell r="I1316" t="str">
            <v>Valor Passagem</v>
          </cell>
          <cell r="J1316">
            <v>53.4</v>
          </cell>
        </row>
        <row r="1317">
          <cell r="A1317" t="str">
            <v>TV VALE TRANSPORTE 0941 SEM JORNADA</v>
          </cell>
          <cell r="B1317" t="str">
            <v>TV VALE TRANSPORTE</v>
          </cell>
          <cell r="C1317" t="str">
            <v>Tabela de Valores Vale Transporte</v>
          </cell>
          <cell r="D1317" t="str">
            <v>SEM JORNADA</v>
          </cell>
          <cell r="E1317">
            <v>41699</v>
          </cell>
          <cell r="G1317" t="str">
            <v>0941</v>
          </cell>
          <cell r="H1317" t="str">
            <v>Trensurb-B01</v>
          </cell>
          <cell r="I1317" t="str">
            <v>Valor Passagem</v>
          </cell>
          <cell r="J1317">
            <v>1.7</v>
          </cell>
        </row>
        <row r="1318">
          <cell r="A1318" t="str">
            <v>TV VALE TRANSPORTE 0942 SEM JORNADA</v>
          </cell>
          <cell r="B1318" t="str">
            <v>TV VALE TRANSPORTE</v>
          </cell>
          <cell r="C1318" t="str">
            <v>Tabela de Valores Vale Transporte</v>
          </cell>
          <cell r="D1318" t="str">
            <v>SEM JORNADA</v>
          </cell>
          <cell r="E1318">
            <v>41699</v>
          </cell>
          <cell r="G1318" t="str">
            <v>0942</v>
          </cell>
          <cell r="H1318" t="str">
            <v>Integ-Canoas B20</v>
          </cell>
          <cell r="I1318" t="str">
            <v>Valor Passagem</v>
          </cell>
          <cell r="J1318">
            <v>3.5</v>
          </cell>
        </row>
        <row r="1319">
          <cell r="A1319" t="str">
            <v>TV VALE TRANSPORTE 0943 SEM JORNADA</v>
          </cell>
          <cell r="B1319" t="str">
            <v>TV VALE TRANSPORTE</v>
          </cell>
          <cell r="C1319" t="str">
            <v>Tabela de Valores Vale Transporte</v>
          </cell>
          <cell r="D1319" t="str">
            <v>SEM JORNADA</v>
          </cell>
          <cell r="E1319">
            <v>41699</v>
          </cell>
          <cell r="G1319" t="str">
            <v>0943</v>
          </cell>
          <cell r="H1319" t="str">
            <v>Integ-Esteio B26</v>
          </cell>
          <cell r="I1319" t="str">
            <v>Valor Passagem</v>
          </cell>
          <cell r="J1319">
            <v>3.75</v>
          </cell>
        </row>
        <row r="1320">
          <cell r="A1320" t="str">
            <v>TV VALE TRANSPORTE 0944 SEM JORNADA</v>
          </cell>
          <cell r="B1320" t="str">
            <v>TV VALE TRANSPORTE</v>
          </cell>
          <cell r="C1320" t="str">
            <v>Tabela de Valores Vale Transporte</v>
          </cell>
          <cell r="D1320" t="str">
            <v>SEM JORNADA</v>
          </cell>
          <cell r="E1320">
            <v>41699</v>
          </cell>
          <cell r="G1320" t="str">
            <v>0944</v>
          </cell>
          <cell r="H1320" t="str">
            <v>Integ-PAlegre B23</v>
          </cell>
          <cell r="I1320" t="str">
            <v>Valor Passagem</v>
          </cell>
          <cell r="J1320">
            <v>4</v>
          </cell>
        </row>
        <row r="1321">
          <cell r="A1321" t="str">
            <v>TV VALE TRANSPORTE 0945 SEM JORNADA</v>
          </cell>
          <cell r="B1321" t="str">
            <v>TV VALE TRANSPORTE</v>
          </cell>
          <cell r="C1321" t="str">
            <v>Tabela de Valores Vale Transporte</v>
          </cell>
          <cell r="D1321" t="str">
            <v>SEM JORNADA</v>
          </cell>
          <cell r="E1321">
            <v>41699</v>
          </cell>
          <cell r="G1321" t="str">
            <v>0945</v>
          </cell>
          <cell r="H1321" t="str">
            <v>Integ-NHamburgo B29</v>
          </cell>
          <cell r="I1321" t="str">
            <v>Valor Passagem</v>
          </cell>
          <cell r="J1321">
            <v>4.45</v>
          </cell>
        </row>
        <row r="1322">
          <cell r="A1322" t="str">
            <v>TV VALE TRANSPORTE 0960 SEM JORNADA</v>
          </cell>
          <cell r="B1322" t="str">
            <v>TV VALE TRANSPORTE</v>
          </cell>
          <cell r="C1322" t="str">
            <v>Tabela de Valores Vale Transporte</v>
          </cell>
          <cell r="D1322" t="str">
            <v>SEM JORNADA</v>
          </cell>
          <cell r="E1322">
            <v>41699</v>
          </cell>
          <cell r="G1322" t="str">
            <v>0960</v>
          </cell>
          <cell r="H1322" t="str">
            <v>S Leopoldo - Urbano</v>
          </cell>
          <cell r="I1322" t="str">
            <v>Valor Passagem</v>
          </cell>
          <cell r="J1322">
            <v>2.45</v>
          </cell>
        </row>
        <row r="1323">
          <cell r="A1323" t="str">
            <v>TV VALE TRANSPORTE 0971 SEM JORNADA</v>
          </cell>
          <cell r="B1323" t="str">
            <v>TV VALE TRANSPORTE</v>
          </cell>
          <cell r="C1323" t="str">
            <v>Tabela de Valores Vale Transporte</v>
          </cell>
          <cell r="D1323" t="str">
            <v>SEM JORNADA</v>
          </cell>
          <cell r="E1323">
            <v>41699</v>
          </cell>
          <cell r="G1323" t="str">
            <v>0971</v>
          </cell>
          <cell r="H1323" t="str">
            <v>Poa/Morro Grande - Palmares</v>
          </cell>
          <cell r="I1323" t="str">
            <v>Valor Passagem</v>
          </cell>
          <cell r="J1323">
            <v>7.95</v>
          </cell>
        </row>
        <row r="1324">
          <cell r="A1324" t="str">
            <v>TV VALE TRANSPORTE 0972 SEM JORNADA</v>
          </cell>
          <cell r="B1324" t="str">
            <v>TV VALE TRANSPORTE</v>
          </cell>
          <cell r="C1324" t="str">
            <v>Tabela de Valores Vale Transporte</v>
          </cell>
          <cell r="D1324" t="str">
            <v>SEM JORNADA</v>
          </cell>
          <cell r="E1324">
            <v>41699</v>
          </cell>
          <cell r="G1324" t="str">
            <v>0972</v>
          </cell>
          <cell r="H1324" t="str">
            <v>P.Alegre/Passo do Vigário</v>
          </cell>
          <cell r="I1324" t="str">
            <v>Valor Passagem</v>
          </cell>
          <cell r="J1324">
            <v>4.25</v>
          </cell>
        </row>
        <row r="1325">
          <cell r="A1325" t="str">
            <v>TV VALE TRANSPORTE 0974 SEM JORNADA</v>
          </cell>
          <cell r="B1325" t="str">
            <v>TV VALE TRANSPORTE</v>
          </cell>
          <cell r="C1325" t="str">
            <v>Tabela de Valores Vale Transporte</v>
          </cell>
          <cell r="D1325" t="str">
            <v>SEM JORNADA</v>
          </cell>
          <cell r="E1325">
            <v>41699</v>
          </cell>
          <cell r="G1325" t="str">
            <v>0974</v>
          </cell>
          <cell r="H1325" t="str">
            <v>P.Alegre/São Jerônimo</v>
          </cell>
          <cell r="I1325" t="str">
            <v>Valor Passagem</v>
          </cell>
          <cell r="J1325">
            <v>7.9</v>
          </cell>
        </row>
        <row r="1326">
          <cell r="A1326" t="str">
            <v>TV VALE TRANSPORTE 0975 SEM JORNADA</v>
          </cell>
          <cell r="B1326" t="str">
            <v>TV VALE TRANSPORTE</v>
          </cell>
          <cell r="C1326" t="str">
            <v>Tabela de Valores Vale Transporte</v>
          </cell>
          <cell r="D1326" t="str">
            <v>SEM JORNADA</v>
          </cell>
          <cell r="E1326">
            <v>41699</v>
          </cell>
          <cell r="G1326" t="str">
            <v>0975</v>
          </cell>
          <cell r="H1326" t="str">
            <v>Triunfo-P. Alegre</v>
          </cell>
          <cell r="I1326" t="str">
            <v>Valor Passagem</v>
          </cell>
          <cell r="J1326">
            <v>10.3</v>
          </cell>
        </row>
        <row r="1327">
          <cell r="A1327" t="str">
            <v>TV VALE TRANSPORTE 0976 SEM JORNADA</v>
          </cell>
          <cell r="B1327" t="str">
            <v>TV VALE TRANSPORTE</v>
          </cell>
          <cell r="C1327" t="str">
            <v>Tabela de Valores Vale Transporte</v>
          </cell>
          <cell r="D1327" t="str">
            <v>SEM JORNADA</v>
          </cell>
          <cell r="E1327">
            <v>41699</v>
          </cell>
          <cell r="G1327" t="str">
            <v>0976</v>
          </cell>
          <cell r="H1327" t="str">
            <v>General Câmara</v>
          </cell>
          <cell r="I1327" t="str">
            <v>Valor Passagem</v>
          </cell>
          <cell r="J1327">
            <v>9.9</v>
          </cell>
        </row>
        <row r="1328">
          <cell r="A1328" t="str">
            <v>TV VALE TRANSPORTE 0983 SEM JORNADA</v>
          </cell>
          <cell r="B1328" t="str">
            <v>TV VALE TRANSPORTE</v>
          </cell>
          <cell r="C1328" t="str">
            <v>Tabela de Valores Vale Transporte</v>
          </cell>
          <cell r="D1328" t="str">
            <v>SEM JORNADA</v>
          </cell>
          <cell r="E1328">
            <v>41699</v>
          </cell>
          <cell r="G1328" t="str">
            <v>0983</v>
          </cell>
          <cell r="H1328" t="str">
            <v>Integ-SLeopoldo B32</v>
          </cell>
          <cell r="I1328" t="str">
            <v>Valor Passagem</v>
          </cell>
          <cell r="J1328">
            <v>3.35</v>
          </cell>
        </row>
        <row r="1329">
          <cell r="A1329" t="str">
            <v>TV VALE TRANSPORTE 0984 SEM JORNADA</v>
          </cell>
          <cell r="B1329" t="str">
            <v>TV VALE TRANSPORTE</v>
          </cell>
          <cell r="C1329" t="str">
            <v>Tabela de Valores Vale Transporte</v>
          </cell>
          <cell r="D1329" t="str">
            <v>SEM JORNADA</v>
          </cell>
          <cell r="E1329">
            <v>41699</v>
          </cell>
          <cell r="G1329" t="str">
            <v>0984</v>
          </cell>
          <cell r="H1329" t="str">
            <v>Integ-NSRita B35</v>
          </cell>
          <cell r="I1329" t="str">
            <v>Valor Passagem</v>
          </cell>
          <cell r="J1329">
            <v>4.05</v>
          </cell>
        </row>
        <row r="1330">
          <cell r="A1330" t="str">
            <v>TV VALE TRANSPORTE 0985 SEM JORNADA</v>
          </cell>
          <cell r="B1330" t="str">
            <v>TV VALE TRANSPORTE</v>
          </cell>
          <cell r="C1330" t="str">
            <v>Tabela de Valores Vale Transporte</v>
          </cell>
          <cell r="D1330" t="str">
            <v>SEM JORNADA</v>
          </cell>
          <cell r="E1330">
            <v>41699</v>
          </cell>
          <cell r="G1330" t="str">
            <v>0985</v>
          </cell>
          <cell r="H1330" t="str">
            <v>Integ-Unisinos B38</v>
          </cell>
          <cell r="I1330" t="str">
            <v>Valor Passagem</v>
          </cell>
          <cell r="J1330">
            <v>1.7</v>
          </cell>
        </row>
        <row r="1331">
          <cell r="A1331" t="str">
            <v>TV VALE TRANSPORTE 0997 SEM JORNADA</v>
          </cell>
          <cell r="B1331" t="str">
            <v>TV VALE TRANSPORTE</v>
          </cell>
          <cell r="C1331" t="str">
            <v>Tabela de Valores Vale Transporte</v>
          </cell>
          <cell r="D1331" t="str">
            <v>SEM JORNADA</v>
          </cell>
          <cell r="E1331">
            <v>41699</v>
          </cell>
          <cell r="G1331" t="str">
            <v>0997</v>
          </cell>
          <cell r="H1331" t="str">
            <v>Soul/Vila Elza/Executivo</v>
          </cell>
          <cell r="I1331" t="str">
            <v>Valor Passagem</v>
          </cell>
          <cell r="J1331">
            <v>4.5</v>
          </cell>
        </row>
        <row r="1332">
          <cell r="A1332" t="str">
            <v>TV VALE TRANSPORTE 0998 SEM JORNADA</v>
          </cell>
          <cell r="B1332" t="str">
            <v>TV VALE TRANSPORTE</v>
          </cell>
          <cell r="C1332" t="str">
            <v>Tabela de Valores Vale Transporte</v>
          </cell>
          <cell r="D1332" t="str">
            <v>SEM JORNADA</v>
          </cell>
          <cell r="E1332">
            <v>41699</v>
          </cell>
          <cell r="G1332" t="str">
            <v>0998</v>
          </cell>
          <cell r="H1332" t="str">
            <v>Barca/Travessia POA - Guaiba (CATSUL)</v>
          </cell>
          <cell r="I1332" t="str">
            <v>Valor Passagem</v>
          </cell>
          <cell r="J1332">
            <v>7.25</v>
          </cell>
        </row>
        <row r="1333">
          <cell r="A1333" t="str">
            <v>TV VALE TRANSPORTE 0999 SEM JORNADA</v>
          </cell>
          <cell r="B1333" t="str">
            <v>TV VALE TRANSPORTE</v>
          </cell>
          <cell r="C1333" t="str">
            <v>Tabela de Valores Vale Transporte</v>
          </cell>
          <cell r="D1333" t="str">
            <v>SEM JORNADA</v>
          </cell>
          <cell r="E1333">
            <v>41699</v>
          </cell>
          <cell r="G1333" t="str">
            <v>0999</v>
          </cell>
          <cell r="H1333" t="str">
            <v>Porto Alegre-Urbano</v>
          </cell>
          <cell r="I1333" t="str">
            <v>Valor Passagem</v>
          </cell>
          <cell r="J1333">
            <v>2.8</v>
          </cell>
        </row>
        <row r="1334">
          <cell r="A1334" t="str">
            <v>TV VALE TRANSPORTE 1000 SEM JORNADA</v>
          </cell>
          <cell r="B1334" t="str">
            <v>TV VALE TRANSPORTE</v>
          </cell>
          <cell r="C1334" t="str">
            <v>Tabela de Valores Vale Transporte</v>
          </cell>
          <cell r="D1334" t="str">
            <v>SEM JORNADA</v>
          </cell>
          <cell r="E1334">
            <v>41699</v>
          </cell>
          <cell r="G1334" t="str">
            <v>1000</v>
          </cell>
          <cell r="H1334" t="str">
            <v>Osório Porto Alegre (Unesul)</v>
          </cell>
          <cell r="I1334" t="str">
            <v>Valor Passagem</v>
          </cell>
          <cell r="J1334">
            <v>19.6</v>
          </cell>
        </row>
        <row r="1335">
          <cell r="A1335" t="str">
            <v>TV VALE TRANSPORTE 1001 SEM JORNADA</v>
          </cell>
          <cell r="B1335" t="str">
            <v>TV VALE TRANSPORTE</v>
          </cell>
          <cell r="C1335" t="str">
            <v>Tabela de Valores Vale Transporte</v>
          </cell>
          <cell r="D1335" t="str">
            <v>SEM JORNADA</v>
          </cell>
          <cell r="E1335">
            <v>41699</v>
          </cell>
          <cell r="G1335" t="str">
            <v>1001</v>
          </cell>
          <cell r="H1335" t="str">
            <v>Tramandai Porto Alegre (Unesul)</v>
          </cell>
          <cell r="I1335" t="str">
            <v>Valor Passagem</v>
          </cell>
          <cell r="J1335">
            <v>23</v>
          </cell>
        </row>
        <row r="1336">
          <cell r="A1336" t="str">
            <v>TV VALE TRANSPORTE 1002 SEM JORNADA</v>
          </cell>
          <cell r="B1336" t="str">
            <v>TV VALE TRANSPORTE</v>
          </cell>
          <cell r="C1336" t="str">
            <v>Tabela de Valores Vale Transporte</v>
          </cell>
          <cell r="D1336" t="str">
            <v>SEM JORNADA</v>
          </cell>
          <cell r="E1336">
            <v>41699</v>
          </cell>
          <cell r="G1336" t="str">
            <v>1002</v>
          </cell>
          <cell r="H1336" t="str">
            <v>Taquara Porto Alegre (Citral)</v>
          </cell>
          <cell r="I1336" t="str">
            <v>Valor Passagem</v>
          </cell>
          <cell r="J1336">
            <v>10.4</v>
          </cell>
        </row>
        <row r="1337">
          <cell r="A1337" t="str">
            <v>TV VALE TRANSPORTE 1004 SEM JORNADA</v>
          </cell>
          <cell r="B1337" t="str">
            <v>TV VALE TRANSPORTE</v>
          </cell>
          <cell r="C1337" t="str">
            <v>Tabela de Valores Vale Transporte</v>
          </cell>
          <cell r="D1337" t="str">
            <v>SEM JORNADA</v>
          </cell>
          <cell r="E1337">
            <v>41699</v>
          </cell>
          <cell r="G1337" t="str">
            <v>1004</v>
          </cell>
          <cell r="H1337" t="str">
            <v>Charqueadas Porto Alegre (Expresso Vitoria)</v>
          </cell>
          <cell r="I1337" t="str">
            <v>Valor Passagem</v>
          </cell>
          <cell r="J1337">
            <v>8.85</v>
          </cell>
        </row>
        <row r="1338">
          <cell r="A1338" t="str">
            <v>TV VALE TRANSPORTE 1005 SEM JORNADA</v>
          </cell>
          <cell r="B1338" t="str">
            <v>TV VALE TRANSPORTE</v>
          </cell>
          <cell r="C1338" t="str">
            <v>Tabela de Valores Vale Transporte</v>
          </cell>
          <cell r="D1338" t="str">
            <v>SEM JORNADA</v>
          </cell>
          <cell r="E1338">
            <v>41699</v>
          </cell>
          <cell r="G1338" t="str">
            <v>1005</v>
          </cell>
          <cell r="H1338" t="str">
            <v>São Jeronimo Porto Alegre (Expresso Vitoria)</v>
          </cell>
          <cell r="I1338" t="str">
            <v>Valor Passagem</v>
          </cell>
          <cell r="J1338">
            <v>13.7</v>
          </cell>
        </row>
        <row r="1339">
          <cell r="A1339" t="str">
            <v>TV VALE TRANSPORTE 1006 SEM JORNADA</v>
          </cell>
          <cell r="B1339" t="str">
            <v>TV VALE TRANSPORTE</v>
          </cell>
          <cell r="C1339" t="str">
            <v>Tabela de Valores Vale Transporte</v>
          </cell>
          <cell r="D1339" t="str">
            <v>SEM JORNADA</v>
          </cell>
          <cell r="E1339">
            <v>41699</v>
          </cell>
          <cell r="G1339" t="str">
            <v>1006</v>
          </cell>
          <cell r="H1339" t="str">
            <v>Lajeado/Taquari-Patronato</v>
          </cell>
          <cell r="I1339" t="str">
            <v>Valor Passagem</v>
          </cell>
          <cell r="J1339">
            <v>14.7</v>
          </cell>
        </row>
        <row r="1340">
          <cell r="A1340" t="str">
            <v>TV VALE TRANSPORTE 1007 SEM JORNADA</v>
          </cell>
          <cell r="B1340" t="str">
            <v>TV VALE TRANSPORTE</v>
          </cell>
          <cell r="C1340" t="str">
            <v>Tabela de Valores Vale Transporte</v>
          </cell>
          <cell r="D1340" t="str">
            <v>SEM JORNADA</v>
          </cell>
          <cell r="E1340">
            <v>41699</v>
          </cell>
          <cell r="G1340" t="str">
            <v>1007</v>
          </cell>
          <cell r="H1340" t="str">
            <v>Taquari/Urbano</v>
          </cell>
          <cell r="I1340" t="str">
            <v>Valor Passagem</v>
          </cell>
          <cell r="J1340">
            <v>2.8</v>
          </cell>
        </row>
        <row r="1341">
          <cell r="A1341" t="str">
            <v>TV VALE TRANSPORTE 1008 SEM JORNADA</v>
          </cell>
          <cell r="B1341" t="str">
            <v>TV VALE TRANSPORTE</v>
          </cell>
          <cell r="C1341" t="str">
            <v>Tabela de Valores Vale Transporte</v>
          </cell>
          <cell r="D1341" t="str">
            <v>SEM JORNADA</v>
          </cell>
          <cell r="E1341">
            <v>41699</v>
          </cell>
          <cell r="G1341" t="str">
            <v>1008</v>
          </cell>
          <cell r="H1341" t="str">
            <v>Taquari /Tibiquari-Auto Viação Tibiquari</v>
          </cell>
          <cell r="I1341" t="str">
            <v>Valor Passagem</v>
          </cell>
          <cell r="J1341">
            <v>1.35</v>
          </cell>
        </row>
        <row r="1342">
          <cell r="A1342" t="str">
            <v>TV VALE TRANSPORTE 1011 SEM JORNADA</v>
          </cell>
          <cell r="B1342" t="str">
            <v>TV VALE TRANSPORTE</v>
          </cell>
          <cell r="C1342" t="str">
            <v>Tabela de Valores Vale Transporte</v>
          </cell>
          <cell r="D1342" t="str">
            <v>SEM JORNADA</v>
          </cell>
          <cell r="E1342">
            <v>41699</v>
          </cell>
          <cell r="G1342" t="str">
            <v>1011</v>
          </cell>
          <cell r="H1342" t="str">
            <v>Urbano-Sto Antonio/Sudeste Filial</v>
          </cell>
          <cell r="I1342" t="str">
            <v>Valor Passagem</v>
          </cell>
          <cell r="J1342">
            <v>1.9</v>
          </cell>
        </row>
        <row r="1343">
          <cell r="A1343" t="str">
            <v>TV VALE TRANSPORTE 1012 SEM JORNADA</v>
          </cell>
          <cell r="B1343" t="str">
            <v>TV VALE TRANSPORTE</v>
          </cell>
          <cell r="C1343" t="str">
            <v>Tabela de Valores Vale Transporte</v>
          </cell>
          <cell r="D1343" t="str">
            <v>SEM JORNADA</v>
          </cell>
          <cell r="E1343">
            <v>41699</v>
          </cell>
          <cell r="G1343" t="str">
            <v>1012</v>
          </cell>
          <cell r="H1343" t="str">
            <v>Santo Antonio da Patrulha Porto Alegre (Unesul)</v>
          </cell>
          <cell r="I1343" t="str">
            <v>Valor Passagem</v>
          </cell>
          <cell r="J1343">
            <v>13.95</v>
          </cell>
        </row>
        <row r="1344">
          <cell r="A1344" t="str">
            <v>TV VALE TRANSPORTE 1014 SEM JORNADA</v>
          </cell>
          <cell r="B1344" t="str">
            <v>TV VALE TRANSPORTE</v>
          </cell>
          <cell r="C1344" t="str">
            <v>Tabela de Valores Vale Transporte</v>
          </cell>
          <cell r="D1344" t="str">
            <v>SEM JORNADA</v>
          </cell>
          <cell r="E1344">
            <v>41699</v>
          </cell>
          <cell r="G1344" t="str">
            <v>1014</v>
          </cell>
          <cell r="H1344" t="str">
            <v>Sto Angelo/Entre-Ijuis - GMS</v>
          </cell>
          <cell r="I1344" t="str">
            <v>Valor Passagem</v>
          </cell>
          <cell r="J1344">
            <v>2.2</v>
          </cell>
        </row>
        <row r="1345">
          <cell r="A1345" t="str">
            <v>TV VALE TRANSPORTE 1127 SEM JORNADA</v>
          </cell>
          <cell r="B1345" t="str">
            <v>TV VALE TRANSPORTE</v>
          </cell>
          <cell r="C1345" t="str">
            <v>Tabela de Valores Vale Transporte</v>
          </cell>
          <cell r="D1345" t="str">
            <v>SEM JORNADA</v>
          </cell>
          <cell r="E1345">
            <v>41699</v>
          </cell>
          <cell r="G1345" t="str">
            <v>1127</v>
          </cell>
          <cell r="H1345" t="str">
            <v>Santa Maria-S. Pedro (Exp. S. Pedro)</v>
          </cell>
          <cell r="I1345" t="str">
            <v>Valor Passagem</v>
          </cell>
          <cell r="J1345">
            <v>6.55</v>
          </cell>
        </row>
        <row r="1346">
          <cell r="A1346" t="str">
            <v>TV VALE TRANSPORTE 1129 SEM JORNADA</v>
          </cell>
          <cell r="B1346" t="str">
            <v>TV VALE TRANSPORTE</v>
          </cell>
          <cell r="C1346" t="str">
            <v>Tabela de Valores Vale Transporte</v>
          </cell>
          <cell r="D1346" t="str">
            <v>SEM JORNADA</v>
          </cell>
          <cell r="E1346">
            <v>41699</v>
          </cell>
          <cell r="G1346" t="str">
            <v>1129</v>
          </cell>
          <cell r="H1346" t="str">
            <v>Santa Maria-Santiago (diurno)</v>
          </cell>
          <cell r="I1346" t="str">
            <v>Valor Passagem</v>
          </cell>
          <cell r="J1346">
            <v>25.8</v>
          </cell>
        </row>
        <row r="1347">
          <cell r="A1347" t="str">
            <v>TV VALE TRANSPORTE 1361 SEM JORNADA</v>
          </cell>
          <cell r="B1347" t="str">
            <v>TV VALE TRANSPORTE</v>
          </cell>
          <cell r="C1347" t="str">
            <v>Tabela de Valores Vale Transporte</v>
          </cell>
          <cell r="D1347" t="str">
            <v>SEM JORNADA</v>
          </cell>
          <cell r="E1347">
            <v>41699</v>
          </cell>
          <cell r="G1347" t="str">
            <v>1361</v>
          </cell>
          <cell r="H1347" t="str">
            <v>Caxias-Farroupilha (Ozelame)</v>
          </cell>
          <cell r="I1347" t="str">
            <v>Valor Passagem</v>
          </cell>
          <cell r="J1347">
            <v>3.5</v>
          </cell>
        </row>
        <row r="1348">
          <cell r="A1348" t="str">
            <v>TV VALE TRANSPORTE 1362 SEM JORNADA</v>
          </cell>
          <cell r="B1348" t="str">
            <v>TV VALE TRANSPORTE</v>
          </cell>
          <cell r="C1348" t="str">
            <v>Tabela de Valores Vale Transporte</v>
          </cell>
          <cell r="D1348" t="str">
            <v>SEM JORNADA</v>
          </cell>
          <cell r="E1348">
            <v>41699</v>
          </cell>
          <cell r="G1348" t="str">
            <v>1362</v>
          </cell>
          <cell r="H1348" t="str">
            <v>Caxias do Sul/Feliz (Expresso Caxiense)</v>
          </cell>
          <cell r="I1348" t="str">
            <v>Valor Passagem</v>
          </cell>
          <cell r="J1348">
            <v>7.6</v>
          </cell>
        </row>
        <row r="1349">
          <cell r="A1349" t="str">
            <v>TV VALE TRANSPORTE 1365 SEM JORNADA</v>
          </cell>
          <cell r="B1349" t="str">
            <v>TV VALE TRANSPORTE</v>
          </cell>
          <cell r="C1349" t="str">
            <v>Tabela de Valores Vale Transporte</v>
          </cell>
          <cell r="D1349" t="str">
            <v>SEM JORNADA</v>
          </cell>
          <cell r="E1349">
            <v>41699</v>
          </cell>
          <cell r="G1349" t="str">
            <v>1365</v>
          </cell>
          <cell r="H1349" t="str">
            <v>Caxias-Flores da Cunha(Caxiense)</v>
          </cell>
          <cell r="I1349" t="str">
            <v>Valor Passagem</v>
          </cell>
          <cell r="J1349">
            <v>3.05</v>
          </cell>
        </row>
        <row r="1350">
          <cell r="A1350" t="str">
            <v>TV VALE TRANSPORTE 1366 SEM JORNADA</v>
          </cell>
          <cell r="B1350" t="str">
            <v>TV VALE TRANSPORTE</v>
          </cell>
          <cell r="C1350" t="str">
            <v>Tabela de Valores Vale Transporte</v>
          </cell>
          <cell r="D1350" t="str">
            <v>SEM JORNADA</v>
          </cell>
          <cell r="E1350">
            <v>41699</v>
          </cell>
          <cell r="G1350" t="str">
            <v>1366</v>
          </cell>
          <cell r="H1350" t="str">
            <v>Veranópolis/Bento Gonçalves (Bento Transp.)</v>
          </cell>
          <cell r="I1350" t="str">
            <v>Valor Passagem</v>
          </cell>
          <cell r="J1350">
            <v>6.8</v>
          </cell>
        </row>
        <row r="1351">
          <cell r="A1351" t="str">
            <v>TV VALE TRANSPORTE 1407 SEM JORNADA</v>
          </cell>
          <cell r="B1351" t="str">
            <v>TV VALE TRANSPORTE</v>
          </cell>
          <cell r="C1351" t="str">
            <v>Tabela de Valores Vale Transporte</v>
          </cell>
          <cell r="D1351" t="str">
            <v>SEM JORNADA</v>
          </cell>
          <cell r="E1351">
            <v>41699</v>
          </cell>
          <cell r="G1351" t="str">
            <v>1407</v>
          </cell>
          <cell r="H1351" t="str">
            <v>Teutonia-Poa - Expresso Azul de Transporte S/A</v>
          </cell>
          <cell r="I1351" t="str">
            <v>Valor Passagem</v>
          </cell>
          <cell r="J1351">
            <v>17.5</v>
          </cell>
        </row>
        <row r="1352">
          <cell r="A1352" t="str">
            <v>TV VALE TRANSPORTE 1408 SEM JORNADA</v>
          </cell>
          <cell r="B1352" t="str">
            <v>TV VALE TRANSPORTE</v>
          </cell>
          <cell r="C1352" t="str">
            <v>Tabela de Valores Vale Transporte</v>
          </cell>
          <cell r="D1352" t="str">
            <v>SEM JORNADA</v>
          </cell>
          <cell r="E1352">
            <v>41699</v>
          </cell>
          <cell r="G1352" t="str">
            <v>1408</v>
          </cell>
          <cell r="H1352" t="str">
            <v>Vila Nova-Poa - Expresso Azul de Transporte S/A</v>
          </cell>
          <cell r="I1352" t="str">
            <v>Valor Passagem</v>
          </cell>
          <cell r="J1352">
            <v>13.55</v>
          </cell>
        </row>
        <row r="1353">
          <cell r="A1353" t="str">
            <v>TV VALE TRANSPORTE 1421 SEM JORNADA</v>
          </cell>
          <cell r="B1353" t="str">
            <v>TV VALE TRANSPORTE</v>
          </cell>
          <cell r="C1353" t="str">
            <v>Tabela de Valores Vale Transporte</v>
          </cell>
          <cell r="D1353" t="str">
            <v>SEM JORNADA</v>
          </cell>
          <cell r="E1353">
            <v>41699</v>
          </cell>
          <cell r="G1353" t="str">
            <v>1421</v>
          </cell>
          <cell r="H1353" t="str">
            <v>P.Alegre-Santa Maria</v>
          </cell>
          <cell r="I1353" t="str">
            <v>Valor Passagem</v>
          </cell>
          <cell r="J1353">
            <v>50.85</v>
          </cell>
        </row>
        <row r="1354">
          <cell r="A1354" t="str">
            <v>TV VALE TRANSPORTE 1435 SEM JORNADA</v>
          </cell>
          <cell r="B1354" t="str">
            <v>TV VALE TRANSPORTE</v>
          </cell>
          <cell r="C1354" t="str">
            <v>Tabela de Valores Vale Transporte</v>
          </cell>
          <cell r="D1354" t="str">
            <v>SEM JORNADA</v>
          </cell>
          <cell r="E1354">
            <v>41699</v>
          </cell>
          <cell r="G1354" t="str">
            <v>1435</v>
          </cell>
          <cell r="H1354" t="str">
            <v>Capão Novo/Capão da Canoa (CS Transp. Coletivo LTDA)</v>
          </cell>
          <cell r="I1354" t="str">
            <v>Valor Passagem</v>
          </cell>
          <cell r="J1354">
            <v>2.2</v>
          </cell>
        </row>
        <row r="1355">
          <cell r="A1355" t="str">
            <v>TV VALE TRANSPORTE 1436 SEM JORNADA</v>
          </cell>
          <cell r="B1355" t="str">
            <v>TV VALE TRANSPORTE</v>
          </cell>
          <cell r="C1355" t="str">
            <v>Tabela de Valores Vale Transporte</v>
          </cell>
          <cell r="D1355" t="str">
            <v>SEM JORNADA</v>
          </cell>
          <cell r="E1355">
            <v>41699</v>
          </cell>
          <cell r="G1355" t="str">
            <v>1436</v>
          </cell>
          <cell r="H1355" t="str">
            <v>Cidreira-Tramandaí-AV São José</v>
          </cell>
          <cell r="I1355" t="str">
            <v>Valor Passagem</v>
          </cell>
          <cell r="J1355">
            <v>5.4</v>
          </cell>
        </row>
        <row r="1356">
          <cell r="A1356" t="str">
            <v>TV VALE TRANSPORTE 5001 SEM JORNADA</v>
          </cell>
          <cell r="B1356" t="str">
            <v>TV VALE TRANSPORTE</v>
          </cell>
          <cell r="C1356" t="str">
            <v>Tabela de Valores Vale Transporte</v>
          </cell>
          <cell r="D1356" t="str">
            <v>SEM JORNADA</v>
          </cell>
          <cell r="E1356">
            <v>41699</v>
          </cell>
          <cell r="G1356" t="str">
            <v>5001</v>
          </cell>
          <cell r="H1356" t="str">
            <v>Pelotas-Capão do Leão/Sta Silvana</v>
          </cell>
          <cell r="I1356" t="str">
            <v>Valor Passagem</v>
          </cell>
          <cell r="J1356">
            <v>2.95</v>
          </cell>
        </row>
        <row r="1357">
          <cell r="A1357" t="str">
            <v>TV VALE TRANSPORTE 5002 SEM JORNADA</v>
          </cell>
          <cell r="B1357" t="str">
            <v>TV VALE TRANSPORTE</v>
          </cell>
          <cell r="C1357" t="str">
            <v>Tabela de Valores Vale Transporte</v>
          </cell>
          <cell r="D1357" t="str">
            <v>SEM JORNADA</v>
          </cell>
          <cell r="E1357">
            <v>41699</v>
          </cell>
          <cell r="G1357" t="str">
            <v>5002</v>
          </cell>
          <cell r="H1357" t="str">
            <v>Lajeado Porto Alegre (Expresso Azul)</v>
          </cell>
          <cell r="I1357" t="str">
            <v>Valor Passagem</v>
          </cell>
          <cell r="J1357">
            <v>22.2</v>
          </cell>
        </row>
        <row r="1358">
          <cell r="A1358" t="str">
            <v>TV VALE TRANSPORTE 5003 SEM JORNADA</v>
          </cell>
          <cell r="B1358" t="str">
            <v>TV VALE TRANSPORTE</v>
          </cell>
          <cell r="C1358" t="str">
            <v>Tabela de Valores Vale Transporte</v>
          </cell>
          <cell r="D1358" t="str">
            <v>SEM JORNADA</v>
          </cell>
          <cell r="E1358">
            <v>41699</v>
          </cell>
          <cell r="G1358" t="str">
            <v>5003</v>
          </cell>
          <cell r="H1358" t="str">
            <v>Tapes</v>
          </cell>
          <cell r="I1358" t="str">
            <v>Valor Passagem</v>
          </cell>
          <cell r="J1358">
            <v>18.05</v>
          </cell>
        </row>
        <row r="1359">
          <cell r="A1359" t="str">
            <v>TV VALE TRANSPORTE 5004 SEM JORNADA</v>
          </cell>
          <cell r="B1359" t="str">
            <v>TV VALE TRANSPORTE</v>
          </cell>
          <cell r="C1359" t="str">
            <v>Tabela de Valores Vale Transporte</v>
          </cell>
          <cell r="D1359" t="str">
            <v>SEM JORNADA</v>
          </cell>
          <cell r="E1359">
            <v>41699</v>
          </cell>
          <cell r="G1359" t="str">
            <v>5004</v>
          </cell>
          <cell r="H1359" t="str">
            <v>Montenegro/Taquari (Empresa Fátima)</v>
          </cell>
          <cell r="I1359" t="str">
            <v>Valor Passagem</v>
          </cell>
          <cell r="J1359">
            <v>7.2</v>
          </cell>
        </row>
        <row r="1360">
          <cell r="A1360" t="str">
            <v>TV VALE TRANSPORTE 5005 SEM JORNADA</v>
          </cell>
          <cell r="B1360" t="str">
            <v>TV VALE TRANSPORTE</v>
          </cell>
          <cell r="C1360" t="str">
            <v>Tabela de Valores Vale Transporte</v>
          </cell>
          <cell r="D1360" t="str">
            <v>SEM JORNADA</v>
          </cell>
          <cell r="E1360">
            <v>41699</v>
          </cell>
          <cell r="G1360" t="str">
            <v>5005</v>
          </cell>
          <cell r="H1360" t="str">
            <v>Montenegro/Taquari (Empresa Top Tur)</v>
          </cell>
          <cell r="I1360" t="str">
            <v>Valor Passagem</v>
          </cell>
          <cell r="J1360">
            <v>6.81</v>
          </cell>
        </row>
        <row r="1361">
          <cell r="A1361" t="str">
            <v>TV VALE TRANSPORTE 5006 SEM JORNADA</v>
          </cell>
          <cell r="B1361" t="str">
            <v>TV VALE TRANSPORTE</v>
          </cell>
          <cell r="C1361" t="str">
            <v>Tabela de Valores Vale Transporte</v>
          </cell>
          <cell r="D1361" t="str">
            <v>SEM JORNADA</v>
          </cell>
          <cell r="E1361">
            <v>41699</v>
          </cell>
          <cell r="G1361" t="str">
            <v>5006</v>
          </cell>
          <cell r="H1361" t="str">
            <v>Montenegre-Polo Petroquimico-VINSA</v>
          </cell>
          <cell r="I1361" t="str">
            <v>Valor Passagem</v>
          </cell>
          <cell r="J1361">
            <v>7.1</v>
          </cell>
        </row>
        <row r="1362">
          <cell r="A1362" t="str">
            <v>TV VALE TRANSPORTE 5007 SEM JORNADA</v>
          </cell>
          <cell r="B1362" t="str">
            <v>TV VALE TRANSPORTE</v>
          </cell>
          <cell r="C1362" t="str">
            <v>Tabela de Valores Vale Transporte</v>
          </cell>
          <cell r="D1362" t="str">
            <v>SEM JORNADA</v>
          </cell>
          <cell r="E1362">
            <v>41699</v>
          </cell>
          <cell r="G1362" t="str">
            <v>5007</v>
          </cell>
          <cell r="H1362" t="str">
            <v>Montenegro Porto Alegre  BR386 (Montenegro)</v>
          </cell>
          <cell r="I1362" t="str">
            <v>Valor Passagem</v>
          </cell>
          <cell r="J1362">
            <v>9.9</v>
          </cell>
        </row>
        <row r="1363">
          <cell r="A1363" t="str">
            <v>TV VALE TRANSPORTE 5008 SEM JORNADA</v>
          </cell>
          <cell r="B1363" t="str">
            <v>TV VALE TRANSPORTE</v>
          </cell>
          <cell r="C1363" t="str">
            <v>Tabela de Valores Vale Transporte</v>
          </cell>
          <cell r="D1363" t="str">
            <v>SEM JORNADA</v>
          </cell>
          <cell r="E1363">
            <v>41699</v>
          </cell>
          <cell r="G1363" t="str">
            <v>5008</v>
          </cell>
          <cell r="H1363" t="str">
            <v>Arroio dos Ratos Porto Alegre (Louzada)</v>
          </cell>
          <cell r="I1363" t="str">
            <v>Valor Passagem</v>
          </cell>
          <cell r="J1363">
            <v>9.1</v>
          </cell>
        </row>
        <row r="1364">
          <cell r="A1364" t="str">
            <v>TV VALE TRANSPORTE 5009 SEM JORNADA</v>
          </cell>
          <cell r="B1364" t="str">
            <v>TV VALE TRANSPORTE</v>
          </cell>
          <cell r="C1364" t="str">
            <v>Tabela de Valores Vale Transporte</v>
          </cell>
          <cell r="D1364" t="str">
            <v>SEM JORNADA</v>
          </cell>
          <cell r="E1364">
            <v>41699</v>
          </cell>
          <cell r="G1364" t="str">
            <v>5009</v>
          </cell>
          <cell r="H1364" t="str">
            <v>Montenegro Urbana (Viação Montenegro)</v>
          </cell>
          <cell r="I1364" t="str">
            <v>Valor Passagem</v>
          </cell>
          <cell r="J1364">
            <v>2.5</v>
          </cell>
        </row>
        <row r="1365">
          <cell r="A1365" t="str">
            <v>TV VALE TRANSPORTE 5010 SEM JORNADA</v>
          </cell>
          <cell r="B1365" t="str">
            <v>TV VALE TRANSPORTE</v>
          </cell>
          <cell r="C1365" t="str">
            <v>Tabela de Valores Vale Transporte</v>
          </cell>
          <cell r="D1365" t="str">
            <v>SEM JORNADA</v>
          </cell>
          <cell r="E1365">
            <v>41699</v>
          </cell>
          <cell r="G1365" t="str">
            <v>5010</v>
          </cell>
          <cell r="H1365" t="str">
            <v>Rio Pardo Porto Alegre (Santa Cruz )</v>
          </cell>
          <cell r="I1365" t="str">
            <v>Valor Passagem</v>
          </cell>
          <cell r="J1365">
            <v>21.1</v>
          </cell>
        </row>
        <row r="1366">
          <cell r="A1366" t="str">
            <v>TV VALE TRANSPORTE 5011 SEM JORNADA</v>
          </cell>
          <cell r="B1366" t="str">
            <v>TV VALE TRANSPORTE</v>
          </cell>
          <cell r="C1366" t="str">
            <v>Tabela de Valores Vale Transporte</v>
          </cell>
          <cell r="D1366" t="str">
            <v>SEM JORNADA</v>
          </cell>
          <cell r="E1366">
            <v>41699</v>
          </cell>
          <cell r="G1366" t="str">
            <v>5011</v>
          </cell>
          <cell r="H1366" t="str">
            <v>Montenegro/São Leopoldo (V. Montenegro</v>
          </cell>
          <cell r="I1366" t="str">
            <v>Valor Passagem</v>
          </cell>
          <cell r="J1366">
            <v>6.05</v>
          </cell>
        </row>
        <row r="1367">
          <cell r="A1367" t="str">
            <v>TV VALE TRANSPORTE 5014 SEM JORNADA</v>
          </cell>
          <cell r="B1367" t="str">
            <v>TV VALE TRANSPORTE</v>
          </cell>
          <cell r="C1367" t="str">
            <v>Tabela de Valores Vale Transporte</v>
          </cell>
          <cell r="D1367" t="str">
            <v>SEM JORNADA</v>
          </cell>
          <cell r="E1367">
            <v>41699</v>
          </cell>
          <cell r="G1367" t="str">
            <v>5014</v>
          </cell>
          <cell r="H1367" t="str">
            <v>Lajeado Urbana  (Ereno Door)</v>
          </cell>
          <cell r="I1367" t="str">
            <v>Valor Passagem</v>
          </cell>
          <cell r="J1367">
            <v>2.2</v>
          </cell>
        </row>
        <row r="1368">
          <cell r="A1368" t="str">
            <v>TV VALE TRANSPORTE 5015 SEM JORNADA</v>
          </cell>
          <cell r="B1368" t="str">
            <v>TV VALE TRANSPORTE</v>
          </cell>
          <cell r="C1368" t="str">
            <v>Tabela de Valores Vale Transporte</v>
          </cell>
          <cell r="D1368" t="str">
            <v>SEM JORNADA</v>
          </cell>
          <cell r="E1368">
            <v>41699</v>
          </cell>
          <cell r="G1368" t="str">
            <v>5015</v>
          </cell>
          <cell r="H1368" t="str">
            <v>Porto Alegre Portão (Caiense)</v>
          </cell>
          <cell r="I1368" t="str">
            <v>Valor Passagem</v>
          </cell>
          <cell r="J1368">
            <v>6.45</v>
          </cell>
        </row>
        <row r="1369">
          <cell r="A1369" t="str">
            <v>TV VALE TRANSPORTE 5016 SEM JORNADA</v>
          </cell>
          <cell r="B1369" t="str">
            <v>TV VALE TRANSPORTE</v>
          </cell>
          <cell r="C1369" t="str">
            <v>Tabela de Valores Vale Transporte</v>
          </cell>
          <cell r="D1369" t="str">
            <v>SEM JORNADA</v>
          </cell>
          <cell r="E1369">
            <v>41699</v>
          </cell>
          <cell r="G1369" t="str">
            <v>5016</v>
          </cell>
          <cell r="H1369" t="str">
            <v>Triunfo Porto Alegre (Fatima)</v>
          </cell>
          <cell r="I1369" t="str">
            <v>Valor Passagem</v>
          </cell>
          <cell r="J1369">
            <v>10.75</v>
          </cell>
        </row>
        <row r="1370">
          <cell r="A1370" t="str">
            <v>TV VALE TRANSPORTE 5017 SEM JORNADA</v>
          </cell>
          <cell r="B1370" t="str">
            <v>TV VALE TRANSPORTE</v>
          </cell>
          <cell r="C1370" t="str">
            <v>Tabela de Valores Vale Transporte</v>
          </cell>
          <cell r="D1370" t="str">
            <v>SEM JORNADA</v>
          </cell>
          <cell r="E1370">
            <v>41699</v>
          </cell>
          <cell r="G1370" t="str">
            <v>5017</v>
          </cell>
          <cell r="H1370" t="str">
            <v>Campo Bom / N.Hamburgo - Citral</v>
          </cell>
          <cell r="I1370" t="str">
            <v>Valor Passagem</v>
          </cell>
          <cell r="J1370">
            <v>2.65</v>
          </cell>
        </row>
        <row r="1371">
          <cell r="A1371" t="str">
            <v>TV VALE TRANSPORTE 5018 SEM JORNADA</v>
          </cell>
          <cell r="B1371" t="str">
            <v>TV VALE TRANSPORTE</v>
          </cell>
          <cell r="C1371" t="str">
            <v>Tabela de Valores Vale Transporte</v>
          </cell>
          <cell r="D1371" t="str">
            <v>SEM JORNADA</v>
          </cell>
          <cell r="E1371">
            <v>41699</v>
          </cell>
          <cell r="G1371" t="str">
            <v>5018</v>
          </cell>
          <cell r="H1371" t="str">
            <v>Campo Bom-Circular - Citral</v>
          </cell>
          <cell r="I1371" t="str">
            <v>Valor Passagem</v>
          </cell>
          <cell r="J1371">
            <v>1.9</v>
          </cell>
        </row>
        <row r="1372">
          <cell r="A1372" t="str">
            <v>TV VALE TRANSPORTE 5019 SEM JORNADA</v>
          </cell>
          <cell r="B1372" t="str">
            <v>TV VALE TRANSPORTE</v>
          </cell>
          <cell r="C1372" t="str">
            <v>Tabela de Valores Vale Transporte</v>
          </cell>
          <cell r="D1372" t="str">
            <v>SEM JORNADA</v>
          </cell>
          <cell r="E1372">
            <v>41699</v>
          </cell>
          <cell r="G1372" t="str">
            <v>5019</v>
          </cell>
          <cell r="H1372" t="str">
            <v>Campo Bom / S.Leopoldo - Citral</v>
          </cell>
          <cell r="I1372" t="str">
            <v>Valor Passagem</v>
          </cell>
          <cell r="J1372">
            <v>3.25</v>
          </cell>
        </row>
        <row r="1373">
          <cell r="A1373" t="str">
            <v>TV VALE TRANSPORTE 5020 SEM JORNADA</v>
          </cell>
          <cell r="B1373" t="str">
            <v>TV VALE TRANSPORTE</v>
          </cell>
          <cell r="C1373" t="str">
            <v>Tabela de Valores Vale Transporte</v>
          </cell>
          <cell r="D1373" t="str">
            <v>SEM JORNADA</v>
          </cell>
          <cell r="E1373">
            <v>41699</v>
          </cell>
          <cell r="G1373" t="str">
            <v>5020</v>
          </cell>
          <cell r="H1373" t="str">
            <v>Bagé/D.Pedrito(S.João-Transp)</v>
          </cell>
          <cell r="I1373" t="str">
            <v>Valor Passagem</v>
          </cell>
          <cell r="J1373">
            <v>11.5</v>
          </cell>
        </row>
        <row r="1374">
          <cell r="A1374" t="str">
            <v>TV VALE TRANSPORTE 5021 SEM JORNADA</v>
          </cell>
          <cell r="B1374" t="str">
            <v>TV VALE TRANSPORTE</v>
          </cell>
          <cell r="C1374" t="str">
            <v>Tabela de Valores Vale Transporte</v>
          </cell>
          <cell r="D1374" t="str">
            <v>SEM JORNADA</v>
          </cell>
          <cell r="E1374">
            <v>41699</v>
          </cell>
          <cell r="G1374" t="str">
            <v>5021</v>
          </cell>
          <cell r="H1374" t="str">
            <v>Carazinho/Passo Fundo - Emp Real</v>
          </cell>
          <cell r="I1374" t="str">
            <v>Valor Passagem</v>
          </cell>
          <cell r="J1374">
            <v>7.85</v>
          </cell>
        </row>
        <row r="1375">
          <cell r="A1375" t="str">
            <v>TV VALE TRANSPORTE 5022 SEM JORNADA</v>
          </cell>
          <cell r="B1375" t="str">
            <v>TV VALE TRANSPORTE</v>
          </cell>
          <cell r="C1375" t="str">
            <v>Tabela de Valores Vale Transporte</v>
          </cell>
          <cell r="D1375" t="str">
            <v>SEM JORNADA</v>
          </cell>
          <cell r="E1375">
            <v>41699</v>
          </cell>
          <cell r="G1375" t="str">
            <v>5022</v>
          </cell>
          <cell r="H1375" t="str">
            <v>Porto Alegre-Douradilho-Empresa Frederes</v>
          </cell>
          <cell r="I1375" t="str">
            <v>Valor Passagem</v>
          </cell>
          <cell r="J1375">
            <v>10.7</v>
          </cell>
        </row>
        <row r="1376">
          <cell r="A1376" t="str">
            <v>TV VALE TRANSPORTE 5023 SEM JORNADA</v>
          </cell>
          <cell r="B1376" t="str">
            <v>TV VALE TRANSPORTE</v>
          </cell>
          <cell r="C1376" t="str">
            <v>Tabela de Valores Vale Transporte</v>
          </cell>
          <cell r="D1376" t="str">
            <v>SEM JORNADA</v>
          </cell>
          <cell r="E1376">
            <v>41699</v>
          </cell>
          <cell r="G1376" t="str">
            <v>5023</v>
          </cell>
          <cell r="H1376" t="str">
            <v>Sist. Transp. Colet. Campo Bom (Linha Operária)</v>
          </cell>
          <cell r="I1376" t="str">
            <v>Valor Passagem</v>
          </cell>
          <cell r="J1376">
            <v>2.5</v>
          </cell>
        </row>
        <row r="1377">
          <cell r="A1377" t="str">
            <v>TV VALE TRANSPORTE 5025 SEM JORNADA</v>
          </cell>
          <cell r="B1377" t="str">
            <v>TV VALE TRANSPORTE</v>
          </cell>
          <cell r="C1377" t="str">
            <v>Tabela de Valores Vale Transporte</v>
          </cell>
          <cell r="D1377" t="str">
            <v>SEM JORNADA</v>
          </cell>
          <cell r="E1377">
            <v>41699</v>
          </cell>
          <cell r="G1377" t="str">
            <v>5025</v>
          </cell>
          <cell r="H1377" t="str">
            <v>Ivoti / Poa - Empresa Wendling</v>
          </cell>
          <cell r="I1377" t="str">
            <v>Valor Passagem</v>
          </cell>
          <cell r="J1377">
            <v>8</v>
          </cell>
        </row>
        <row r="1378">
          <cell r="A1378" t="str">
            <v>TV VALE TRANSPORTE 5026 SEM JORNADA</v>
          </cell>
          <cell r="B1378" t="str">
            <v>TV VALE TRANSPORTE</v>
          </cell>
          <cell r="C1378" t="str">
            <v>Tabela de Valores Vale Transporte</v>
          </cell>
          <cell r="D1378" t="str">
            <v>SEM JORNADA</v>
          </cell>
          <cell r="E1378">
            <v>41699</v>
          </cell>
          <cell r="G1378" t="str">
            <v>5026</v>
          </cell>
          <cell r="H1378" t="str">
            <v>Dois Irmãos ¿ Empresa Wendling</v>
          </cell>
          <cell r="I1378" t="str">
            <v>Valor Passagem</v>
          </cell>
          <cell r="J1378">
            <v>3.35</v>
          </cell>
        </row>
        <row r="1379">
          <cell r="A1379" t="str">
            <v>TV VALE TRANSPORTE 5027 SEM JORNADA</v>
          </cell>
          <cell r="B1379" t="str">
            <v>TV VALE TRANSPORTE</v>
          </cell>
          <cell r="C1379" t="str">
            <v>Tabela de Valores Vale Transporte</v>
          </cell>
          <cell r="D1379" t="str">
            <v>SEM JORNADA</v>
          </cell>
          <cell r="E1379">
            <v>41699</v>
          </cell>
          <cell r="G1379" t="str">
            <v>5027</v>
          </cell>
          <cell r="H1379" t="str">
            <v>Dois Irmãos-Novo Hamburgo - Empresa Wendling</v>
          </cell>
          <cell r="I1379" t="str">
            <v>Valor Passagem</v>
          </cell>
          <cell r="J1379">
            <v>3.25</v>
          </cell>
        </row>
        <row r="1380">
          <cell r="A1380" t="str">
            <v>TV VALE TRANSPORTE 5028 SEM JORNADA</v>
          </cell>
          <cell r="B1380" t="str">
            <v>TV VALE TRANSPORTE</v>
          </cell>
          <cell r="C1380" t="str">
            <v>Tabela de Valores Vale Transporte</v>
          </cell>
          <cell r="D1380" t="str">
            <v>SEM JORNADA</v>
          </cell>
          <cell r="E1380">
            <v>41699</v>
          </cell>
          <cell r="G1380" t="str">
            <v>5028</v>
          </cell>
          <cell r="H1380" t="str">
            <v>Palmeira das Missões/Constantina (Empresa Valtur)</v>
          </cell>
          <cell r="I1380" t="str">
            <v>Valor Passagem</v>
          </cell>
          <cell r="J1380">
            <v>12</v>
          </cell>
        </row>
        <row r="1381">
          <cell r="A1381" t="str">
            <v>TV VALE TRANSPORTE 5029 SEM JORNADA</v>
          </cell>
          <cell r="B1381" t="str">
            <v>TV VALE TRANSPORTE</v>
          </cell>
          <cell r="C1381" t="str">
            <v>Tabela de Valores Vale Transporte</v>
          </cell>
          <cell r="D1381" t="str">
            <v>SEM JORNADA</v>
          </cell>
          <cell r="E1381">
            <v>41699</v>
          </cell>
          <cell r="G1381" t="str">
            <v>5029</v>
          </cell>
          <cell r="H1381" t="str">
            <v>Campo Bom / P. Alegre (Citral)</v>
          </cell>
          <cell r="I1381" t="str">
            <v>Valor Passagem</v>
          </cell>
          <cell r="J1381">
            <v>7.45</v>
          </cell>
        </row>
        <row r="1382">
          <cell r="A1382" t="str">
            <v>TV ZERO 01 40H</v>
          </cell>
          <cell r="B1382" t="str">
            <v>TV ZERO</v>
          </cell>
          <cell r="C1382" t="str">
            <v>Tabela com valor zerado para tratamentos especiais</v>
          </cell>
          <cell r="D1382" t="str">
            <v>40H</v>
          </cell>
          <cell r="E1382">
            <v>38412</v>
          </cell>
          <cell r="G1382" t="str">
            <v>01</v>
          </cell>
          <cell r="H1382" t="str">
            <v>Valor Zero</v>
          </cell>
          <cell r="I1382" t="str">
            <v>Básico</v>
          </cell>
          <cell r="J1382">
            <v>0</v>
          </cell>
        </row>
        <row r="1383">
          <cell r="A1383" t="str">
            <v>VA SM PROFISSIONAL 1 SEM JORNADA</v>
          </cell>
          <cell r="B1383" t="str">
            <v>VA SM PROFISSIONAL</v>
          </cell>
          <cell r="C1383" t="str">
            <v>Tabela de Valores Auxiliares - Salário Mínimo Profissional</v>
          </cell>
          <cell r="D1383" t="str">
            <v>SEM JORNADA</v>
          </cell>
          <cell r="E1383">
            <v>39448</v>
          </cell>
          <cell r="G1383" t="str">
            <v>1</v>
          </cell>
          <cell r="H1383" t="str">
            <v>6 Sal.Min.Nacional</v>
          </cell>
          <cell r="I1383" t="str">
            <v>Qtde. Salário Mínimo</v>
          </cell>
          <cell r="J1383">
            <v>6</v>
          </cell>
        </row>
        <row r="1384">
          <cell r="A1384" t="str">
            <v>VA SM PROFISSIONAL 2 SEM JORNADA</v>
          </cell>
          <cell r="B1384" t="str">
            <v>VA SM PROFISSIONAL</v>
          </cell>
          <cell r="C1384" t="str">
            <v>Tabela de Valores Auxiliares - Salário Mínimo Profissional</v>
          </cell>
          <cell r="D1384" t="str">
            <v>SEM JORNADA</v>
          </cell>
          <cell r="E1384">
            <v>39448</v>
          </cell>
          <cell r="G1384" t="str">
            <v>2</v>
          </cell>
          <cell r="H1384" t="str">
            <v>6,83 Sal.Min.Nacional</v>
          </cell>
          <cell r="I1384" t="str">
            <v>Qtde. Salário Mínimo</v>
          </cell>
          <cell r="J1384">
            <v>6.83</v>
          </cell>
        </row>
        <row r="1385">
          <cell r="A1385" t="str">
            <v>VA SM PROFISSIONAL 3 SEM JORNADA</v>
          </cell>
          <cell r="B1385" t="str">
            <v>VA SM PROFISSIONAL</v>
          </cell>
          <cell r="C1385" t="str">
            <v>Tabela de Valores Auxiliares - Salário Mínimo Profissional</v>
          </cell>
          <cell r="D1385" t="str">
            <v>SEM JORNADA</v>
          </cell>
          <cell r="E1385">
            <v>39448</v>
          </cell>
          <cell r="G1385" t="str">
            <v>3</v>
          </cell>
          <cell r="H1385" t="str">
            <v>7,5 Sal.Min.Nacional</v>
          </cell>
          <cell r="I1385" t="str">
            <v>Qtde. Salário Mínimo</v>
          </cell>
          <cell r="J1385">
            <v>7.5</v>
          </cell>
        </row>
        <row r="1386">
          <cell r="A1386" t="str">
            <v>VA SM PROFISSIONAL 4 SEM JORNADA</v>
          </cell>
          <cell r="B1386" t="str">
            <v>VA SM PROFISSIONAL</v>
          </cell>
          <cell r="C1386" t="str">
            <v>Tabela de Valores Auxiliares - Salário Mínimo Profissional</v>
          </cell>
          <cell r="D1386" t="str">
            <v>SEM JORNADA</v>
          </cell>
          <cell r="E1386">
            <v>39448</v>
          </cell>
          <cell r="G1386" t="str">
            <v>4</v>
          </cell>
          <cell r="H1386" t="str">
            <v>8,5 Sal.Min.Nacional</v>
          </cell>
          <cell r="I1386" t="str">
            <v>Qtde. Salário Mínimo</v>
          </cell>
          <cell r="J1386">
            <v>8.5</v>
          </cell>
        </row>
        <row r="1387">
          <cell r="A1387" t="str">
            <v>VA SM PROFISSIONAL 5 SEM JORNADA</v>
          </cell>
          <cell r="B1387" t="str">
            <v>VA SM PROFISSIONAL</v>
          </cell>
          <cell r="C1387" t="str">
            <v>Tabela de Valores Auxiliares - Salário Mínimo Profissional</v>
          </cell>
          <cell r="D1387" t="str">
            <v>SEM JORNADA</v>
          </cell>
          <cell r="E1387">
            <v>39448</v>
          </cell>
          <cell r="G1387" t="str">
            <v>5</v>
          </cell>
          <cell r="H1387" t="str">
            <v>5 Sal.Min.Nacional</v>
          </cell>
          <cell r="I1387" t="str">
            <v>Qtde. Salário Mínimo</v>
          </cell>
          <cell r="J1387">
            <v>5</v>
          </cell>
        </row>
        <row r="1388">
          <cell r="A1388" t="str">
            <v>VA SM PROFISSIONAL 6 SEM JORNADA</v>
          </cell>
          <cell r="B1388" t="str">
            <v>VA SM PROFISSIONAL</v>
          </cell>
          <cell r="C1388" t="str">
            <v>Tabela de Valores Auxiliares - Salário Mínimo Profissional</v>
          </cell>
          <cell r="D1388" t="str">
            <v>SEM JORNADA</v>
          </cell>
          <cell r="E1388">
            <v>39448</v>
          </cell>
          <cell r="G1388" t="str">
            <v>6</v>
          </cell>
          <cell r="H1388" t="str">
            <v>9 Sal.Min.Nacional</v>
          </cell>
          <cell r="I1388" t="str">
            <v>Qtde. Salário Mínimo</v>
          </cell>
          <cell r="J1388">
            <v>9</v>
          </cell>
        </row>
        <row r="1389">
          <cell r="A1389" t="str">
            <v>VA VALOR AUXILIAR 01 SEM JORNADA</v>
          </cell>
          <cell r="B1389" t="str">
            <v>VA VALOR AUXILIAR</v>
          </cell>
          <cell r="C1389" t="str">
            <v>Tabela de Valores Auxiliares</v>
          </cell>
          <cell r="D1389" t="str">
            <v>SEM JORNADA</v>
          </cell>
          <cell r="E1389">
            <v>41579</v>
          </cell>
          <cell r="G1389" t="str">
            <v>01</v>
          </cell>
          <cell r="H1389" t="str">
            <v>GOV_RS</v>
          </cell>
          <cell r="I1389" t="str">
            <v>Vale Refeição</v>
          </cell>
          <cell r="J1389">
            <v>7.57</v>
          </cell>
          <cell r="K1389" t="str">
            <v>Aux Creche</v>
          </cell>
          <cell r="L1389">
            <v>0</v>
          </cell>
          <cell r="M1389" t="str">
            <v>Aux Babá</v>
          </cell>
          <cell r="N1389">
            <v>0</v>
          </cell>
          <cell r="O1389" t="str">
            <v>ValeRefeição2</v>
          </cell>
          <cell r="Q1389" t="str">
            <v>AuxCreche/Babá</v>
          </cell>
        </row>
        <row r="1390">
          <cell r="A1390" t="str">
            <v>VA VALOR AUXILIAR 02 SEM JORNADA</v>
          </cell>
          <cell r="B1390" t="str">
            <v>VA VALOR AUXILIAR</v>
          </cell>
          <cell r="C1390" t="str">
            <v>Tabela de Valores Auxiliares</v>
          </cell>
          <cell r="D1390" t="str">
            <v>SEM JORNADA</v>
          </cell>
          <cell r="E1390">
            <v>41579</v>
          </cell>
          <cell r="G1390" t="str">
            <v>02</v>
          </cell>
          <cell r="H1390" t="str">
            <v>TCE</v>
          </cell>
          <cell r="I1390" t="str">
            <v>Vale Refeição</v>
          </cell>
          <cell r="J1390">
            <v>7</v>
          </cell>
          <cell r="K1390" t="str">
            <v>Aux Creche</v>
          </cell>
          <cell r="L1390">
            <v>0</v>
          </cell>
          <cell r="M1390" t="str">
            <v>Aux Babá</v>
          </cell>
          <cell r="N1390">
            <v>0</v>
          </cell>
          <cell r="O1390" t="str">
            <v>ValeRefeição2</v>
          </cell>
          <cell r="Q1390" t="str">
            <v>AuxCreche/Babá</v>
          </cell>
        </row>
        <row r="1391">
          <cell r="A1391" t="str">
            <v>VA VALOR AUXILIAR 03 SEM JORNADA</v>
          </cell>
          <cell r="B1391" t="str">
            <v>VA VALOR AUXILIAR</v>
          </cell>
          <cell r="C1391" t="str">
            <v>Tabela de Valores Auxiliares</v>
          </cell>
          <cell r="D1391" t="str">
            <v>SEM JORNADA</v>
          </cell>
          <cell r="E1391">
            <v>41579</v>
          </cell>
          <cell r="G1391" t="str">
            <v>03</v>
          </cell>
          <cell r="H1391" t="str">
            <v>FEPPS</v>
          </cell>
          <cell r="I1391" t="str">
            <v>Vale Refeição</v>
          </cell>
          <cell r="J1391">
            <v>7.57</v>
          </cell>
          <cell r="K1391" t="str">
            <v>Aux Creche</v>
          </cell>
          <cell r="L1391">
            <v>0</v>
          </cell>
          <cell r="M1391" t="str">
            <v>Aux Babá</v>
          </cell>
          <cell r="N1391">
            <v>0</v>
          </cell>
          <cell r="O1391" t="str">
            <v>ValeRefeição2</v>
          </cell>
          <cell r="Q1391" t="str">
            <v>AuxCreche/Babá</v>
          </cell>
        </row>
        <row r="1392">
          <cell r="A1392" t="str">
            <v>VA VALOR AUXILIAR 04 SEM JORNADA</v>
          </cell>
          <cell r="B1392" t="str">
            <v>VA VALOR AUXILIAR</v>
          </cell>
          <cell r="C1392" t="str">
            <v>Tabela de Valores Auxiliares</v>
          </cell>
          <cell r="D1392" t="str">
            <v>SEM JORNADA</v>
          </cell>
          <cell r="E1392">
            <v>41579</v>
          </cell>
          <cell r="G1392" t="str">
            <v>04</v>
          </cell>
          <cell r="H1392" t="str">
            <v>FEPAGRO</v>
          </cell>
          <cell r="I1392" t="str">
            <v>Vale Refeição</v>
          </cell>
          <cell r="J1392">
            <v>7.57</v>
          </cell>
          <cell r="K1392" t="str">
            <v>Aux Creche</v>
          </cell>
          <cell r="L1392">
            <v>0</v>
          </cell>
          <cell r="M1392" t="str">
            <v>Aux Babá</v>
          </cell>
          <cell r="N1392">
            <v>0</v>
          </cell>
          <cell r="O1392" t="str">
            <v>ValeRefeição2</v>
          </cell>
          <cell r="Q1392" t="str">
            <v>AuxCreche/Babá</v>
          </cell>
        </row>
        <row r="1393">
          <cell r="A1393" t="str">
            <v>VA VALOR AUXILIAR 05 SEM JORNADA</v>
          </cell>
          <cell r="B1393" t="str">
            <v>VA VALOR AUXILIAR</v>
          </cell>
          <cell r="C1393" t="str">
            <v>Tabela de Valores Auxiliares</v>
          </cell>
          <cell r="D1393" t="str">
            <v>SEM JORNADA</v>
          </cell>
          <cell r="E1393">
            <v>41579</v>
          </cell>
          <cell r="G1393" t="str">
            <v>05</v>
          </cell>
          <cell r="H1393" t="str">
            <v>ALRS</v>
          </cell>
          <cell r="I1393" t="str">
            <v>Vale Refeição</v>
          </cell>
          <cell r="J1393">
            <v>0</v>
          </cell>
          <cell r="K1393" t="str">
            <v>Aux Creche</v>
          </cell>
          <cell r="L1393">
            <v>0</v>
          </cell>
          <cell r="M1393" t="str">
            <v>Aux Babá</v>
          </cell>
          <cell r="N1393">
            <v>0</v>
          </cell>
          <cell r="O1393" t="str">
            <v>ValeRefeição2</v>
          </cell>
          <cell r="Q1393" t="str">
            <v>AuxCreche/Babá</v>
          </cell>
        </row>
        <row r="1394">
          <cell r="A1394" t="str">
            <v>VA VALOR AUXILIAR 06 SEM JORNADA</v>
          </cell>
          <cell r="B1394" t="str">
            <v>VA VALOR AUXILIAR</v>
          </cell>
          <cell r="C1394" t="str">
            <v>Tabela de Valores Auxiliares</v>
          </cell>
          <cell r="D1394" t="str">
            <v>SEM JORNADA</v>
          </cell>
          <cell r="E1394">
            <v>41579</v>
          </cell>
          <cell r="G1394" t="str">
            <v>06</v>
          </cell>
          <cell r="H1394" t="str">
            <v>TJRS</v>
          </cell>
          <cell r="I1394" t="str">
            <v>Vale Refeição</v>
          </cell>
          <cell r="J1394">
            <v>0</v>
          </cell>
          <cell r="K1394" t="str">
            <v>Aux Creche</v>
          </cell>
          <cell r="L1394">
            <v>0</v>
          </cell>
          <cell r="M1394" t="str">
            <v>Aux Babá</v>
          </cell>
          <cell r="N1394">
            <v>0</v>
          </cell>
          <cell r="O1394" t="str">
            <v>ValeRefeição2</v>
          </cell>
          <cell r="Q1394" t="str">
            <v>AuxCreche/Babá</v>
          </cell>
        </row>
        <row r="1395">
          <cell r="A1395" t="str">
            <v>VA VALOR AUXILIAR 07 SEM JORNADA</v>
          </cell>
          <cell r="B1395" t="str">
            <v>VA VALOR AUXILIAR</v>
          </cell>
          <cell r="C1395" t="str">
            <v>Tabela de Valores Auxiliares</v>
          </cell>
          <cell r="D1395" t="str">
            <v>SEM JORNADA</v>
          </cell>
          <cell r="E1395">
            <v>41579</v>
          </cell>
          <cell r="G1395" t="str">
            <v>07</v>
          </cell>
          <cell r="H1395" t="str">
            <v>TJM</v>
          </cell>
          <cell r="I1395" t="str">
            <v>Vale Refeição</v>
          </cell>
          <cell r="J1395">
            <v>0</v>
          </cell>
          <cell r="K1395" t="str">
            <v>Aux Creche</v>
          </cell>
          <cell r="L1395">
            <v>0</v>
          </cell>
          <cell r="M1395" t="str">
            <v>Aux Babá</v>
          </cell>
          <cell r="N1395">
            <v>0</v>
          </cell>
          <cell r="O1395" t="str">
            <v>ValeRefeição2</v>
          </cell>
          <cell r="Q1395" t="str">
            <v>AuxCreche/Babá</v>
          </cell>
        </row>
        <row r="1396">
          <cell r="A1396" t="str">
            <v>VA VALOR AUXILIAR 08 SEM JORNADA</v>
          </cell>
          <cell r="B1396" t="str">
            <v>VA VALOR AUXILIAR</v>
          </cell>
          <cell r="C1396" t="str">
            <v>Tabela de Valores Auxiliares</v>
          </cell>
          <cell r="D1396" t="str">
            <v>SEM JORNADA</v>
          </cell>
          <cell r="E1396">
            <v>41579</v>
          </cell>
          <cell r="G1396" t="str">
            <v>08</v>
          </cell>
          <cell r="H1396" t="str">
            <v>AGERGS</v>
          </cell>
          <cell r="I1396" t="str">
            <v>Vale Refeição</v>
          </cell>
          <cell r="J1396">
            <v>7.57</v>
          </cell>
          <cell r="K1396" t="str">
            <v>Aux Creche</v>
          </cell>
          <cell r="L1396">
            <v>0</v>
          </cell>
          <cell r="M1396" t="str">
            <v>Aux Babá</v>
          </cell>
          <cell r="N1396">
            <v>0</v>
          </cell>
          <cell r="O1396" t="str">
            <v>ValeRefeição2</v>
          </cell>
          <cell r="Q1396" t="str">
            <v>AuxCreche/Babá</v>
          </cell>
        </row>
        <row r="1397">
          <cell r="A1397" t="str">
            <v>VA VALOR AUXILIAR 09 SEM JORNADA</v>
          </cell>
          <cell r="B1397" t="str">
            <v>VA VALOR AUXILIAR</v>
          </cell>
          <cell r="C1397" t="str">
            <v>Tabela de Valores Auxiliares</v>
          </cell>
          <cell r="D1397" t="str">
            <v>SEM JORNADA</v>
          </cell>
          <cell r="E1397">
            <v>41579</v>
          </cell>
          <cell r="G1397" t="str">
            <v>09</v>
          </cell>
          <cell r="H1397" t="str">
            <v>DAER</v>
          </cell>
          <cell r="I1397" t="str">
            <v>Vale Refeição</v>
          </cell>
          <cell r="J1397">
            <v>0</v>
          </cell>
          <cell r="K1397" t="str">
            <v>Aux Creche</v>
          </cell>
          <cell r="L1397">
            <v>0</v>
          </cell>
          <cell r="M1397" t="str">
            <v>Aux Babá</v>
          </cell>
          <cell r="N1397">
            <v>0</v>
          </cell>
          <cell r="O1397" t="str">
            <v>ValeRefeição2</v>
          </cell>
          <cell r="Q1397" t="str">
            <v>AuxCreche/Babá</v>
          </cell>
        </row>
        <row r="1398">
          <cell r="A1398" t="str">
            <v>VA VALOR AUXILIAR 10 SEM JORNADA</v>
          </cell>
          <cell r="B1398" t="str">
            <v>VA VALOR AUXILIAR</v>
          </cell>
          <cell r="C1398" t="str">
            <v>Tabela de Valores Auxiliares</v>
          </cell>
          <cell r="D1398" t="str">
            <v>SEM JORNADA</v>
          </cell>
          <cell r="E1398">
            <v>41579</v>
          </cell>
          <cell r="G1398" t="str">
            <v>10</v>
          </cell>
          <cell r="H1398" t="str">
            <v>DETRAN/RS</v>
          </cell>
          <cell r="I1398" t="str">
            <v>Vale Refeição</v>
          </cell>
          <cell r="J1398">
            <v>7.57</v>
          </cell>
          <cell r="K1398" t="str">
            <v>Aux Creche</v>
          </cell>
          <cell r="L1398">
            <v>0</v>
          </cell>
          <cell r="M1398" t="str">
            <v>Aux Babá</v>
          </cell>
          <cell r="N1398">
            <v>0</v>
          </cell>
          <cell r="O1398" t="str">
            <v>ValeRefeição2</v>
          </cell>
          <cell r="Q1398" t="str">
            <v>AuxCreche/Babá</v>
          </cell>
        </row>
        <row r="1399">
          <cell r="A1399" t="str">
            <v>VA VALOR AUXILIAR 11 SEM JORNADA</v>
          </cell>
          <cell r="B1399" t="str">
            <v>VA VALOR AUXILIAR</v>
          </cell>
          <cell r="C1399" t="str">
            <v>Tabela de Valores Auxiliares</v>
          </cell>
          <cell r="D1399" t="str">
            <v>SEM JORNADA</v>
          </cell>
          <cell r="E1399">
            <v>41579</v>
          </cell>
          <cell r="G1399" t="str">
            <v>11</v>
          </cell>
          <cell r="H1399" t="str">
            <v>IPERGS</v>
          </cell>
          <cell r="I1399" t="str">
            <v>Vale Refeição</v>
          </cell>
          <cell r="J1399">
            <v>0</v>
          </cell>
          <cell r="K1399" t="str">
            <v>Aux Creche</v>
          </cell>
          <cell r="L1399">
            <v>0</v>
          </cell>
          <cell r="M1399" t="str">
            <v>Aux Babá</v>
          </cell>
          <cell r="N1399">
            <v>0</v>
          </cell>
          <cell r="O1399" t="str">
            <v>ValeRefeição2</v>
          </cell>
          <cell r="Q1399" t="str">
            <v>AuxCreche/Babá</v>
          </cell>
        </row>
        <row r="1400">
          <cell r="A1400" t="str">
            <v>VA VALOR AUXILIAR 12 SEM JORNADA</v>
          </cell>
          <cell r="B1400" t="str">
            <v>VA VALOR AUXILIAR</v>
          </cell>
          <cell r="C1400" t="str">
            <v>Tabela de Valores Auxiliares</v>
          </cell>
          <cell r="D1400" t="str">
            <v>SEM JORNADA</v>
          </cell>
          <cell r="E1400">
            <v>41579</v>
          </cell>
          <cell r="G1400" t="str">
            <v>12</v>
          </cell>
          <cell r="H1400" t="str">
            <v>IRGA</v>
          </cell>
          <cell r="I1400" t="str">
            <v>Vale Refeição</v>
          </cell>
          <cell r="J1400">
            <v>7.57</v>
          </cell>
          <cell r="K1400" t="str">
            <v>Aux Creche</v>
          </cell>
          <cell r="L1400">
            <v>0</v>
          </cell>
          <cell r="M1400" t="str">
            <v>Aux Babá</v>
          </cell>
          <cell r="N1400">
            <v>0</v>
          </cell>
          <cell r="O1400" t="str">
            <v>ValeRefeição2</v>
          </cell>
          <cell r="Q1400" t="str">
            <v>AuxCreche/Babá</v>
          </cell>
        </row>
        <row r="1401">
          <cell r="A1401" t="str">
            <v>VA VALOR AUXILIAR 13 SEM JORNADA</v>
          </cell>
          <cell r="B1401" t="str">
            <v>VA VALOR AUXILIAR</v>
          </cell>
          <cell r="C1401" t="str">
            <v>Tabela de Valores Auxiliares</v>
          </cell>
          <cell r="D1401" t="str">
            <v>SEM JORNADA</v>
          </cell>
          <cell r="E1401">
            <v>41579</v>
          </cell>
          <cell r="G1401" t="str">
            <v>13</v>
          </cell>
          <cell r="H1401" t="str">
            <v>SPH</v>
          </cell>
          <cell r="I1401" t="str">
            <v>Vale Refeição</v>
          </cell>
          <cell r="J1401">
            <v>0</v>
          </cell>
          <cell r="K1401" t="str">
            <v>Aux Creche</v>
          </cell>
          <cell r="L1401">
            <v>0</v>
          </cell>
          <cell r="M1401" t="str">
            <v>Aux Babá</v>
          </cell>
          <cell r="N1401">
            <v>0</v>
          </cell>
          <cell r="O1401" t="str">
            <v>ValeRefeição2</v>
          </cell>
          <cell r="Q1401" t="str">
            <v>AuxCreche/Babá</v>
          </cell>
        </row>
        <row r="1402">
          <cell r="A1402" t="str">
            <v>VA VALOR AUXILIAR 14 SEM JORNADA</v>
          </cell>
          <cell r="B1402" t="str">
            <v>VA VALOR AUXILIAR</v>
          </cell>
          <cell r="C1402" t="str">
            <v>Tabela de Valores Auxiliares</v>
          </cell>
          <cell r="D1402" t="str">
            <v>SEM JORNADA</v>
          </cell>
          <cell r="E1402">
            <v>41579</v>
          </cell>
          <cell r="G1402" t="str">
            <v>14</v>
          </cell>
          <cell r="H1402" t="str">
            <v>SUPRG</v>
          </cell>
          <cell r="I1402" t="str">
            <v>Vale Refeição</v>
          </cell>
          <cell r="J1402">
            <v>0</v>
          </cell>
          <cell r="K1402" t="str">
            <v>Aux Creche</v>
          </cell>
          <cell r="L1402">
            <v>0</v>
          </cell>
          <cell r="M1402" t="str">
            <v>Aux Babá</v>
          </cell>
          <cell r="N1402">
            <v>0</v>
          </cell>
          <cell r="O1402" t="str">
            <v>ValeRefeição2</v>
          </cell>
          <cell r="Q1402" t="str">
            <v>AuxCreche/Babá</v>
          </cell>
        </row>
        <row r="1403">
          <cell r="A1403" t="str">
            <v>VA VALOR AUXILIAR 15 SEM JORNADA</v>
          </cell>
          <cell r="B1403" t="str">
            <v>VA VALOR AUXILIAR</v>
          </cell>
          <cell r="C1403" t="str">
            <v>Tabela de Valores Auxiliares</v>
          </cell>
          <cell r="D1403" t="str">
            <v>SEM JORNADA</v>
          </cell>
          <cell r="E1403">
            <v>41579</v>
          </cell>
          <cell r="G1403" t="str">
            <v>15</v>
          </cell>
          <cell r="I1403" t="str">
            <v>Vale Refeição</v>
          </cell>
          <cell r="J1403">
            <v>7.57</v>
          </cell>
          <cell r="K1403" t="str">
            <v>Aux Creche</v>
          </cell>
          <cell r="L1403">
            <v>0</v>
          </cell>
          <cell r="M1403" t="str">
            <v>Aux Babá</v>
          </cell>
          <cell r="N1403">
            <v>0</v>
          </cell>
          <cell r="O1403" t="str">
            <v>ValeRefeição2</v>
          </cell>
          <cell r="Q1403" t="str">
            <v>AuxCreche/Babá</v>
          </cell>
        </row>
        <row r="1404">
          <cell r="A1404" t="str">
            <v>VA VALOR AUXILIAR 16 SEM JORNADA</v>
          </cell>
          <cell r="B1404" t="str">
            <v>VA VALOR AUXILIAR</v>
          </cell>
          <cell r="C1404" t="str">
            <v>Tabela de Valores Auxiliares</v>
          </cell>
          <cell r="D1404" t="str">
            <v>SEM JORNADA</v>
          </cell>
          <cell r="E1404">
            <v>41579</v>
          </cell>
          <cell r="G1404" t="str">
            <v>16</v>
          </cell>
          <cell r="I1404" t="str">
            <v>Vale Refeição</v>
          </cell>
          <cell r="J1404">
            <v>7.57</v>
          </cell>
          <cell r="K1404" t="str">
            <v>Aux Creche</v>
          </cell>
          <cell r="L1404">
            <v>0</v>
          </cell>
          <cell r="M1404" t="str">
            <v>Aux Babá</v>
          </cell>
          <cell r="N1404">
            <v>0</v>
          </cell>
          <cell r="O1404" t="str">
            <v>ValeRefeição2</v>
          </cell>
          <cell r="Q1404" t="str">
            <v>AuxCreche/Babá</v>
          </cell>
        </row>
        <row r="1405">
          <cell r="A1405" t="str">
            <v>VA VALOR AUXILIAR 17 SEM JORNADA</v>
          </cell>
          <cell r="B1405" t="str">
            <v>VA VALOR AUXILIAR</v>
          </cell>
          <cell r="C1405" t="str">
            <v>Tabela de Valores Auxiliares</v>
          </cell>
          <cell r="D1405" t="str">
            <v>SEM JORNADA</v>
          </cell>
          <cell r="E1405">
            <v>41579</v>
          </cell>
          <cell r="G1405" t="str">
            <v>17</v>
          </cell>
          <cell r="H1405" t="str">
            <v>FIGTF</v>
          </cell>
          <cell r="I1405" t="str">
            <v>Vale Refeição</v>
          </cell>
          <cell r="J1405">
            <v>7.57</v>
          </cell>
          <cell r="K1405" t="str">
            <v>Aux Creche</v>
          </cell>
          <cell r="L1405">
            <v>0</v>
          </cell>
          <cell r="M1405" t="str">
            <v>Aux Babá</v>
          </cell>
          <cell r="N1405">
            <v>0</v>
          </cell>
          <cell r="O1405" t="str">
            <v>ValeRefeição2</v>
          </cell>
          <cell r="Q1405" t="str">
            <v>AuxCreche/Babá</v>
          </cell>
        </row>
        <row r="1406">
          <cell r="A1406" t="str">
            <v>VA VALOR AUXILIAR 18 SEM JORNADA</v>
          </cell>
          <cell r="B1406" t="str">
            <v>VA VALOR AUXILIAR</v>
          </cell>
          <cell r="C1406" t="str">
            <v>Tabela de Valores Auxiliares</v>
          </cell>
          <cell r="D1406" t="str">
            <v>SEM JORNADA</v>
          </cell>
          <cell r="E1406">
            <v>41579</v>
          </cell>
          <cell r="G1406" t="str">
            <v>18</v>
          </cell>
          <cell r="H1406" t="str">
            <v>FOSPA</v>
          </cell>
          <cell r="I1406" t="str">
            <v>Vale Refeição</v>
          </cell>
          <cell r="J1406">
            <v>7.57</v>
          </cell>
          <cell r="K1406" t="str">
            <v>Aux Creche</v>
          </cell>
          <cell r="L1406">
            <v>0</v>
          </cell>
          <cell r="M1406" t="str">
            <v>Aux Babá</v>
          </cell>
          <cell r="N1406">
            <v>0</v>
          </cell>
          <cell r="O1406" t="str">
            <v>ValeRefeição2</v>
          </cell>
          <cell r="Q1406" t="str">
            <v>AuxCreche/Babá</v>
          </cell>
        </row>
        <row r="1407">
          <cell r="A1407" t="str">
            <v>VA VALOR AUXILIAR 19 SEM JORNADA</v>
          </cell>
          <cell r="B1407" t="str">
            <v>VA VALOR AUXILIAR</v>
          </cell>
          <cell r="C1407" t="str">
            <v>Tabela de Valores Auxiliares</v>
          </cell>
          <cell r="D1407" t="str">
            <v>SEM JORNADA</v>
          </cell>
          <cell r="E1407">
            <v>41579</v>
          </cell>
          <cell r="G1407" t="str">
            <v>19</v>
          </cell>
          <cell r="H1407" t="str">
            <v>FAPERGS</v>
          </cell>
          <cell r="I1407" t="str">
            <v>Vale Refeição</v>
          </cell>
          <cell r="J1407">
            <v>21</v>
          </cell>
          <cell r="K1407" t="str">
            <v>Aux Creche</v>
          </cell>
          <cell r="L1407">
            <v>300</v>
          </cell>
          <cell r="M1407" t="str">
            <v>Aux Babá</v>
          </cell>
          <cell r="N1407">
            <v>300</v>
          </cell>
          <cell r="O1407" t="str">
            <v>ValeRefeição2</v>
          </cell>
          <cell r="Q1407" t="str">
            <v>AuxCreche/Babá</v>
          </cell>
        </row>
        <row r="1408">
          <cell r="A1408" t="str">
            <v>VA VALOR AUXILIAR 20 SEM JORNADA</v>
          </cell>
          <cell r="B1408" t="str">
            <v>VA VALOR AUXILIAR</v>
          </cell>
          <cell r="C1408" t="str">
            <v>Tabela de Valores Auxiliares</v>
          </cell>
          <cell r="D1408" t="str">
            <v>SEM JORNADA</v>
          </cell>
          <cell r="E1408">
            <v>41579</v>
          </cell>
          <cell r="G1408" t="str">
            <v>20</v>
          </cell>
          <cell r="H1408" t="str">
            <v>FADERS</v>
          </cell>
          <cell r="I1408" t="str">
            <v>Vale Refeição</v>
          </cell>
          <cell r="J1408">
            <v>21</v>
          </cell>
          <cell r="K1408" t="str">
            <v>Aux Creche</v>
          </cell>
          <cell r="L1408">
            <v>300</v>
          </cell>
          <cell r="M1408" t="str">
            <v>Aux Babá</v>
          </cell>
          <cell r="N1408">
            <v>300</v>
          </cell>
          <cell r="O1408" t="str">
            <v>ValeRefeição2</v>
          </cell>
          <cell r="Q1408" t="str">
            <v>AuxCreche/Babá</v>
          </cell>
        </row>
        <row r="1409">
          <cell r="A1409" t="str">
            <v>VA VALOR AUXILIAR 21 SEM JORNADA</v>
          </cell>
          <cell r="B1409" t="str">
            <v>VA VALOR AUXILIAR</v>
          </cell>
          <cell r="C1409" t="str">
            <v>Tabela de Valores Auxiliares</v>
          </cell>
          <cell r="D1409" t="str">
            <v>SEM JORNADA</v>
          </cell>
          <cell r="E1409">
            <v>41579</v>
          </cell>
          <cell r="G1409" t="str">
            <v>21</v>
          </cell>
          <cell r="H1409" t="str">
            <v>FASE</v>
          </cell>
          <cell r="I1409" t="str">
            <v>Vale Refeição</v>
          </cell>
          <cell r="J1409">
            <v>21</v>
          </cell>
          <cell r="K1409" t="str">
            <v>Aux Creche</v>
          </cell>
          <cell r="L1409">
            <v>300</v>
          </cell>
          <cell r="M1409" t="str">
            <v>Aux Babá</v>
          </cell>
          <cell r="N1409">
            <v>300</v>
          </cell>
          <cell r="O1409" t="str">
            <v>ValeRefeição2</v>
          </cell>
          <cell r="Q1409" t="str">
            <v>AuxCreche/Babá</v>
          </cell>
        </row>
        <row r="1410">
          <cell r="A1410" t="str">
            <v>VA VALOR AUXILIAR 22 SEM JORNADA</v>
          </cell>
          <cell r="B1410" t="str">
            <v>VA VALOR AUXILIAR</v>
          </cell>
          <cell r="C1410" t="str">
            <v>Tabela de Valores Auxiliares</v>
          </cell>
          <cell r="D1410" t="str">
            <v>SEM JORNADA</v>
          </cell>
          <cell r="E1410">
            <v>41579</v>
          </cell>
          <cell r="G1410" t="str">
            <v>22</v>
          </cell>
          <cell r="H1410" t="str">
            <v>FRTVE</v>
          </cell>
          <cell r="I1410" t="str">
            <v>Vale Refeição</v>
          </cell>
          <cell r="J1410">
            <v>21</v>
          </cell>
          <cell r="K1410" t="str">
            <v>Aux Creche</v>
          </cell>
          <cell r="L1410">
            <v>368</v>
          </cell>
          <cell r="M1410" t="str">
            <v>Aux Babá</v>
          </cell>
          <cell r="N1410">
            <v>0</v>
          </cell>
          <cell r="O1410" t="str">
            <v>ValeRefeição2</v>
          </cell>
          <cell r="P1410">
            <v>18.72</v>
          </cell>
          <cell r="Q1410" t="str">
            <v>AuxCreche/Babá</v>
          </cell>
        </row>
        <row r="1411">
          <cell r="A1411" t="str">
            <v>VA VALOR AUXILIAR 23 SEM JORNADA</v>
          </cell>
          <cell r="B1411" t="str">
            <v>VA VALOR AUXILIAR</v>
          </cell>
          <cell r="C1411" t="str">
            <v>Tabela de Valores Auxiliares</v>
          </cell>
          <cell r="D1411" t="str">
            <v>SEM JORNADA</v>
          </cell>
          <cell r="E1411">
            <v>41579</v>
          </cell>
          <cell r="G1411" t="str">
            <v>23</v>
          </cell>
          <cell r="H1411" t="str">
            <v>CIENTEC</v>
          </cell>
          <cell r="I1411" t="str">
            <v>Vale Refeição</v>
          </cell>
          <cell r="J1411">
            <v>21</v>
          </cell>
          <cell r="K1411" t="str">
            <v>Aux Creche</v>
          </cell>
          <cell r="L1411">
            <v>300</v>
          </cell>
          <cell r="M1411" t="str">
            <v>Aux Babá</v>
          </cell>
          <cell r="N1411">
            <v>300</v>
          </cell>
          <cell r="O1411" t="str">
            <v>ValeRefeição2</v>
          </cell>
          <cell r="Q1411" t="str">
            <v>AuxCreche/Babá</v>
          </cell>
        </row>
        <row r="1412">
          <cell r="A1412" t="str">
            <v>VA VALOR AUXILIAR 24 SEM JORNADA</v>
          </cell>
          <cell r="B1412" t="str">
            <v>VA VALOR AUXILIAR</v>
          </cell>
          <cell r="C1412" t="str">
            <v>Tabela de Valores Auxiliares</v>
          </cell>
          <cell r="D1412" t="str">
            <v>SEM JORNADA</v>
          </cell>
          <cell r="E1412">
            <v>41579</v>
          </cell>
          <cell r="G1412" t="str">
            <v>24</v>
          </cell>
          <cell r="H1412" t="str">
            <v>FDRH</v>
          </cell>
          <cell r="I1412" t="str">
            <v>Vale Refeição</v>
          </cell>
          <cell r="J1412">
            <v>21</v>
          </cell>
          <cell r="K1412" t="str">
            <v>Aux Creche</v>
          </cell>
          <cell r="L1412">
            <v>300</v>
          </cell>
          <cell r="M1412" t="str">
            <v>Aux Babá</v>
          </cell>
          <cell r="N1412">
            <v>300</v>
          </cell>
          <cell r="O1412" t="str">
            <v>ValeRefeição2</v>
          </cell>
          <cell r="Q1412" t="str">
            <v>AuxCreche/Babá</v>
          </cell>
        </row>
        <row r="1413">
          <cell r="A1413" t="str">
            <v>VA VALOR AUXILIAR 25 SEM JORNADA</v>
          </cell>
          <cell r="B1413" t="str">
            <v>VA VALOR AUXILIAR</v>
          </cell>
          <cell r="C1413" t="str">
            <v>Tabela de Valores Auxiliares</v>
          </cell>
          <cell r="D1413" t="str">
            <v>SEM JORNADA</v>
          </cell>
          <cell r="E1413">
            <v>41579</v>
          </cell>
          <cell r="G1413" t="str">
            <v>25</v>
          </cell>
          <cell r="H1413" t="str">
            <v>FEE</v>
          </cell>
          <cell r="I1413" t="str">
            <v>Vale Refeição</v>
          </cell>
          <cell r="J1413">
            <v>21</v>
          </cell>
          <cell r="K1413" t="str">
            <v>Aux Creche</v>
          </cell>
          <cell r="L1413">
            <v>300</v>
          </cell>
          <cell r="M1413" t="str">
            <v>Aux Babá</v>
          </cell>
          <cell r="N1413">
            <v>300</v>
          </cell>
          <cell r="O1413" t="str">
            <v>ValeRefeição2</v>
          </cell>
          <cell r="Q1413" t="str">
            <v>AuxCreche/Babá</v>
          </cell>
        </row>
        <row r="1414">
          <cell r="A1414" t="str">
            <v>VA VALOR AUXILIAR 26 SEM JORNADA</v>
          </cell>
          <cell r="B1414" t="str">
            <v>VA VALOR AUXILIAR</v>
          </cell>
          <cell r="C1414" t="str">
            <v>Tabela de Valores Auxiliares</v>
          </cell>
          <cell r="D1414" t="str">
            <v>SEM JORNADA</v>
          </cell>
          <cell r="E1414">
            <v>41579</v>
          </cell>
          <cell r="G1414" t="str">
            <v>26</v>
          </cell>
          <cell r="H1414" t="str">
            <v>LIBERATO</v>
          </cell>
          <cell r="I1414" t="str">
            <v>Vale Refeição</v>
          </cell>
          <cell r="J1414">
            <v>20</v>
          </cell>
          <cell r="K1414" t="str">
            <v>Aux Creche</v>
          </cell>
          <cell r="L1414">
            <v>345</v>
          </cell>
          <cell r="M1414" t="str">
            <v>Aux Babá</v>
          </cell>
          <cell r="N1414">
            <v>263</v>
          </cell>
          <cell r="O1414" t="str">
            <v>ValeRefeição2</v>
          </cell>
          <cell r="P1414">
            <v>20</v>
          </cell>
          <cell r="Q1414" t="str">
            <v>AuxCreche/Babá</v>
          </cell>
          <cell r="R1414">
            <v>345</v>
          </cell>
        </row>
        <row r="1415">
          <cell r="A1415" t="str">
            <v>VA VALOR AUXILIAR 27 SEM JORNADA</v>
          </cell>
          <cell r="B1415" t="str">
            <v>VA VALOR AUXILIAR</v>
          </cell>
          <cell r="C1415" t="str">
            <v>Tabela de Valores Auxiliares</v>
          </cell>
          <cell r="D1415" t="str">
            <v>SEM JORNADA</v>
          </cell>
          <cell r="E1415">
            <v>41579</v>
          </cell>
          <cell r="G1415" t="str">
            <v>27</v>
          </cell>
          <cell r="H1415" t="str">
            <v>FGTAS</v>
          </cell>
          <cell r="I1415" t="str">
            <v>Vale Refeição</v>
          </cell>
          <cell r="J1415">
            <v>21</v>
          </cell>
          <cell r="K1415" t="str">
            <v>Aux Creche</v>
          </cell>
          <cell r="L1415">
            <v>300</v>
          </cell>
          <cell r="M1415" t="str">
            <v>Aux Babá</v>
          </cell>
          <cell r="N1415">
            <v>300</v>
          </cell>
          <cell r="O1415" t="str">
            <v>ValeRefeição2</v>
          </cell>
          <cell r="Q1415" t="str">
            <v>AuxCreche/Babá</v>
          </cell>
        </row>
        <row r="1416">
          <cell r="A1416" t="str">
            <v>VA VALOR AUXILIAR 28 SEM JORNADA</v>
          </cell>
          <cell r="B1416" t="str">
            <v>VA VALOR AUXILIAR</v>
          </cell>
          <cell r="C1416" t="str">
            <v>Tabela de Valores Auxiliares</v>
          </cell>
          <cell r="D1416" t="str">
            <v>SEM JORNADA</v>
          </cell>
          <cell r="E1416">
            <v>41579</v>
          </cell>
          <cell r="G1416" t="str">
            <v>28</v>
          </cell>
          <cell r="H1416" t="str">
            <v>METROPLAN</v>
          </cell>
          <cell r="I1416" t="str">
            <v>Vale Refeição</v>
          </cell>
          <cell r="J1416">
            <v>21</v>
          </cell>
          <cell r="K1416" t="str">
            <v>Aux Creche</v>
          </cell>
          <cell r="L1416">
            <v>300</v>
          </cell>
          <cell r="M1416" t="str">
            <v>Aux Babá</v>
          </cell>
          <cell r="N1416">
            <v>300</v>
          </cell>
          <cell r="O1416" t="str">
            <v>ValeRefeição2</v>
          </cell>
          <cell r="Q1416" t="str">
            <v>AuxCreche/Babá</v>
          </cell>
        </row>
        <row r="1417">
          <cell r="A1417" t="str">
            <v>VA VALOR AUXILIAR 29 SEM JORNADA</v>
          </cell>
          <cell r="B1417" t="str">
            <v>VA VALOR AUXILIAR</v>
          </cell>
          <cell r="C1417" t="str">
            <v>Tabela de Valores Auxiliares</v>
          </cell>
          <cell r="D1417" t="str">
            <v>SEM JORNADA</v>
          </cell>
          <cell r="E1417">
            <v>41579</v>
          </cell>
          <cell r="G1417" t="str">
            <v>29</v>
          </cell>
          <cell r="H1417" t="str">
            <v>FEPAM</v>
          </cell>
          <cell r="I1417" t="str">
            <v>Vale Refeição</v>
          </cell>
          <cell r="J1417">
            <v>21</v>
          </cell>
          <cell r="K1417" t="str">
            <v>Aux Creche</v>
          </cell>
          <cell r="L1417">
            <v>300</v>
          </cell>
          <cell r="M1417" t="str">
            <v>Aux Babá</v>
          </cell>
          <cell r="N1417">
            <v>300</v>
          </cell>
          <cell r="O1417" t="str">
            <v>ValeRefeição2</v>
          </cell>
          <cell r="Q1417" t="str">
            <v>AuxCreche/Babá</v>
          </cell>
        </row>
        <row r="1418">
          <cell r="A1418" t="str">
            <v>VA VALOR AUXILIAR 30 SEM JORNADA</v>
          </cell>
          <cell r="B1418" t="str">
            <v>VA VALOR AUXILIAR</v>
          </cell>
          <cell r="C1418" t="str">
            <v>Tabela de Valores Auxiliares</v>
          </cell>
          <cell r="D1418" t="str">
            <v>SEM JORNADA</v>
          </cell>
          <cell r="E1418">
            <v>41579</v>
          </cell>
          <cell r="G1418" t="str">
            <v>30</v>
          </cell>
          <cell r="H1418" t="str">
            <v>PROTEÇÃO</v>
          </cell>
          <cell r="I1418" t="str">
            <v>Vale Refeição</v>
          </cell>
          <cell r="J1418">
            <v>21</v>
          </cell>
          <cell r="K1418" t="str">
            <v>Aux Creche</v>
          </cell>
          <cell r="L1418">
            <v>300</v>
          </cell>
          <cell r="M1418" t="str">
            <v>Aux Babá</v>
          </cell>
          <cell r="N1418">
            <v>300</v>
          </cell>
          <cell r="O1418" t="str">
            <v>ValeRefeição2</v>
          </cell>
          <cell r="Q1418" t="str">
            <v>AuxCreche/Babá</v>
          </cell>
        </row>
        <row r="1419">
          <cell r="A1419" t="str">
            <v>VA VALOR AUXILIAR 31 SEM JORNADA</v>
          </cell>
          <cell r="B1419" t="str">
            <v>VA VALOR AUXILIAR</v>
          </cell>
          <cell r="C1419" t="str">
            <v>Tabela de Valores Auxiliares</v>
          </cell>
          <cell r="D1419" t="str">
            <v>SEM JORNADA</v>
          </cell>
          <cell r="E1419">
            <v>41579</v>
          </cell>
          <cell r="G1419" t="str">
            <v>31</v>
          </cell>
          <cell r="H1419" t="str">
            <v>FTSP</v>
          </cell>
          <cell r="I1419" t="str">
            <v>Vale Refeição</v>
          </cell>
          <cell r="J1419">
            <v>21</v>
          </cell>
          <cell r="K1419" t="str">
            <v>Aux Creche</v>
          </cell>
          <cell r="L1419">
            <v>300</v>
          </cell>
          <cell r="M1419" t="str">
            <v>Aux Babá</v>
          </cell>
          <cell r="N1419">
            <v>300</v>
          </cell>
          <cell r="O1419" t="str">
            <v>ValeRefeição2</v>
          </cell>
          <cell r="Q1419" t="str">
            <v>AuxCreche/Babá</v>
          </cell>
        </row>
        <row r="1420">
          <cell r="A1420" t="str">
            <v>VA VALOR AUXILIAR 32 SEM JORNADA</v>
          </cell>
          <cell r="B1420" t="str">
            <v>VA VALOR AUXILIAR</v>
          </cell>
          <cell r="C1420" t="str">
            <v>Tabela de Valores Auxiliares</v>
          </cell>
          <cell r="D1420" t="str">
            <v>SEM JORNADA</v>
          </cell>
          <cell r="E1420">
            <v>41579</v>
          </cell>
          <cell r="G1420" t="str">
            <v>32</v>
          </cell>
          <cell r="H1420" t="str">
            <v>FZB</v>
          </cell>
          <cell r="I1420" t="str">
            <v>Vale Refeição</v>
          </cell>
          <cell r="J1420">
            <v>21</v>
          </cell>
          <cell r="K1420" t="str">
            <v>Aux Creche</v>
          </cell>
          <cell r="L1420">
            <v>300</v>
          </cell>
          <cell r="M1420" t="str">
            <v>Aux Babá</v>
          </cell>
          <cell r="N1420">
            <v>300</v>
          </cell>
          <cell r="O1420" t="str">
            <v>ValeRefeição2</v>
          </cell>
          <cell r="Q1420" t="str">
            <v>AuxCreche/Babá</v>
          </cell>
        </row>
        <row r="1421">
          <cell r="A1421" t="str">
            <v>VA VALOR AUXILIAR 33 SEM JORNADA</v>
          </cell>
          <cell r="B1421" t="str">
            <v>VA VALOR AUXILIAR</v>
          </cell>
          <cell r="C1421" t="str">
            <v>Tabela de Valores Auxiliares</v>
          </cell>
          <cell r="D1421" t="str">
            <v>SEM JORNADA</v>
          </cell>
          <cell r="E1421">
            <v>41579</v>
          </cell>
          <cell r="G1421" t="str">
            <v>33</v>
          </cell>
          <cell r="H1421" t="str">
            <v>FUNDERGS</v>
          </cell>
          <cell r="I1421" t="str">
            <v>Vale Refeição</v>
          </cell>
          <cell r="J1421">
            <v>21</v>
          </cell>
          <cell r="K1421" t="str">
            <v>Aux Creche</v>
          </cell>
          <cell r="L1421">
            <v>300</v>
          </cell>
          <cell r="M1421" t="str">
            <v>Aux Babá</v>
          </cell>
          <cell r="N1421">
            <v>300</v>
          </cell>
          <cell r="O1421" t="str">
            <v>ValeRefeição2</v>
          </cell>
          <cell r="Q1421" t="str">
            <v>AuxCreche/Babá</v>
          </cell>
        </row>
        <row r="1422">
          <cell r="A1422" t="str">
            <v>VA VALOR AUXILIAR 34 SEM JORNADA</v>
          </cell>
          <cell r="B1422" t="str">
            <v>VA VALOR AUXILIAR</v>
          </cell>
          <cell r="C1422" t="str">
            <v>Tabela de Valores Auxiliares</v>
          </cell>
          <cell r="D1422" t="str">
            <v>SEM JORNADA</v>
          </cell>
          <cell r="E1422">
            <v>41579</v>
          </cell>
          <cell r="G1422" t="str">
            <v>34</v>
          </cell>
          <cell r="H1422" t="str">
            <v>UERGS</v>
          </cell>
          <cell r="I1422" t="str">
            <v>Vale Refeição</v>
          </cell>
          <cell r="J1422">
            <v>20</v>
          </cell>
          <cell r="K1422" t="str">
            <v>Aux Creche</v>
          </cell>
          <cell r="L1422">
            <v>345</v>
          </cell>
          <cell r="M1422" t="str">
            <v>Aux Babá</v>
          </cell>
          <cell r="N1422">
            <v>345</v>
          </cell>
          <cell r="O1422" t="str">
            <v>ValeRefeição2</v>
          </cell>
          <cell r="P1422">
            <v>21</v>
          </cell>
          <cell r="Q1422" t="str">
            <v>AuxCreche/Babá</v>
          </cell>
          <cell r="R142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R141"/>
  <sheetViews>
    <sheetView showZeros="0" zoomScalePageLayoutView="0" workbookViewId="0" topLeftCell="N1">
      <selection activeCell="O2" sqref="O2"/>
    </sheetView>
  </sheetViews>
  <sheetFormatPr defaultColWidth="9.140625" defaultRowHeight="12.75"/>
  <cols>
    <col min="1" max="1" width="24.28125" style="26" customWidth="1"/>
    <col min="2" max="2" width="11.00390625" style="769" customWidth="1"/>
    <col min="3" max="3" width="13.57421875" style="26" customWidth="1"/>
    <col min="4" max="4" width="2.8515625" style="283" customWidth="1"/>
    <col min="5" max="5" width="10.7109375" style="79" hidden="1" customWidth="1"/>
    <col min="6" max="6" width="0" style="31" hidden="1" customWidth="1"/>
    <col min="7" max="7" width="7.57421875" style="31" hidden="1" customWidth="1"/>
    <col min="8" max="8" width="3.7109375" style="31" hidden="1" customWidth="1"/>
    <col min="9" max="9" width="17.8515625" style="31" customWidth="1"/>
    <col min="10" max="10" width="10.140625" style="31" customWidth="1"/>
    <col min="11" max="11" width="4.8515625" style="81" customWidth="1"/>
    <col min="12" max="12" width="8.7109375" style="79" hidden="1" customWidth="1"/>
    <col min="13" max="13" width="7.421875" style="31" hidden="1" customWidth="1"/>
    <col min="14" max="14" width="5.28125" style="1" customWidth="1"/>
    <col min="15" max="15" width="3.00390625" style="1" customWidth="1"/>
    <col min="16" max="16" width="10.421875" style="1" bestFit="1" customWidth="1"/>
    <col min="17" max="17" width="10.28125" style="1" customWidth="1"/>
    <col min="18" max="18" width="5.00390625" style="1" customWidth="1"/>
    <col min="19" max="19" width="11.00390625" style="1" customWidth="1"/>
    <col min="20" max="20" width="9.28125" style="1" customWidth="1"/>
    <col min="21" max="22" width="10.421875" style="1" customWidth="1"/>
    <col min="23" max="23" width="6.28125" style="1" customWidth="1"/>
    <col min="24" max="24" width="11.00390625" style="1" customWidth="1"/>
    <col min="25" max="25" width="7.00390625" style="1" customWidth="1"/>
    <col min="26" max="26" width="5.8515625" style="1" customWidth="1"/>
    <col min="27" max="27" width="3.00390625" style="1" hidden="1" customWidth="1"/>
    <col min="28" max="28" width="13.140625" style="33" hidden="1" customWidth="1"/>
    <col min="29" max="29" width="9.140625" style="1" hidden="1" customWidth="1"/>
    <col min="30" max="30" width="8.7109375" style="1" customWidth="1"/>
    <col min="31" max="31" width="12.8515625" style="1" customWidth="1"/>
    <col min="32" max="32" width="10.57421875" style="1" customWidth="1"/>
    <col min="33" max="33" width="8.421875" style="1" customWidth="1"/>
    <col min="34" max="34" width="6.00390625" style="1" bestFit="1" customWidth="1"/>
    <col min="35" max="35" width="11.7109375" style="1" customWidth="1"/>
    <col min="36" max="36" width="12.140625" style="1" customWidth="1"/>
    <col min="37" max="37" width="5.8515625" style="1" customWidth="1"/>
    <col min="38" max="38" width="13.140625" style="33" hidden="1" customWidth="1"/>
    <col min="39" max="39" width="9.140625" style="1" hidden="1" customWidth="1"/>
    <col min="40" max="40" width="9.140625" style="1" customWidth="1"/>
    <col min="41" max="41" width="12.8515625" style="1" customWidth="1"/>
    <col min="42" max="42" width="10.57421875" style="1" customWidth="1"/>
    <col min="43" max="43" width="8.421875" style="1" customWidth="1"/>
    <col min="44" max="44" width="6.00390625" style="1" bestFit="1" customWidth="1"/>
    <col min="45" max="46" width="11.7109375" style="1" customWidth="1"/>
    <col min="47" max="47" width="12.140625" style="1" customWidth="1"/>
    <col min="48" max="48" width="5.8515625" style="1" customWidth="1"/>
    <col min="49" max="49" width="10.28125" style="1" customWidth="1"/>
    <col min="50" max="50" width="13.140625" style="33" hidden="1" customWidth="1"/>
    <col min="51" max="51" width="0" style="1" hidden="1" customWidth="1"/>
    <col min="52" max="52" width="13.00390625" style="1" customWidth="1"/>
    <col min="53" max="54" width="10.7109375" style="1" customWidth="1"/>
    <col min="55" max="55" width="5.8515625" style="1" customWidth="1"/>
    <col min="56" max="57" width="11.8515625" style="1" customWidth="1"/>
    <col min="58" max="58" width="12.140625" style="1" customWidth="1"/>
    <col min="59" max="59" width="4.8515625" style="1" customWidth="1"/>
    <col min="60" max="60" width="3.28125" style="1" customWidth="1"/>
    <col min="61" max="61" width="6.421875" style="1" customWidth="1"/>
    <col min="62" max="62" width="4.28125" style="1" customWidth="1"/>
    <col min="63" max="63" width="11.57421875" style="1" customWidth="1"/>
    <col min="64" max="64" width="10.8515625" style="1" customWidth="1"/>
    <col min="65" max="65" width="15.140625" style="1" customWidth="1"/>
    <col min="66" max="66" width="6.421875" style="1" customWidth="1"/>
    <col min="67" max="67" width="13.57421875" style="1" customWidth="1"/>
    <col min="68" max="68" width="8.421875" style="1" customWidth="1"/>
    <col min="69" max="69" width="9.140625" style="1" customWidth="1"/>
    <col min="70" max="70" width="10.57421875" style="1" customWidth="1"/>
    <col min="71" max="71" width="6.8515625" style="1" customWidth="1"/>
    <col min="72" max="72" width="3.421875" style="1" customWidth="1"/>
    <col min="73" max="73" width="10.421875" style="1" customWidth="1"/>
    <col min="74" max="74" width="13.00390625" style="1" customWidth="1"/>
    <col min="75" max="75" width="5.57421875" style="33" customWidth="1"/>
    <col min="76" max="77" width="8.57421875" style="1" customWidth="1"/>
    <col min="78" max="78" width="7.140625" style="1" customWidth="1"/>
    <col min="79" max="79" width="19.421875" style="1" customWidth="1"/>
    <col min="80" max="80" width="14.28125" style="1" customWidth="1"/>
    <col min="81" max="81" width="3.140625" style="1" customWidth="1"/>
    <col min="82" max="82" width="6.00390625" style="1" customWidth="1"/>
    <col min="83" max="83" width="8.421875" style="79" hidden="1" customWidth="1"/>
    <col min="84" max="84" width="10.7109375" style="31" hidden="1" customWidth="1"/>
    <col min="85" max="85" width="3.28125" style="1" customWidth="1"/>
    <col min="86" max="86" width="3.421875" style="1" customWidth="1"/>
    <col min="87" max="87" width="8.28125" style="1" customWidth="1"/>
    <col min="88" max="88" width="14.00390625" style="1" customWidth="1"/>
    <col min="89" max="89" width="5.7109375" style="1" customWidth="1"/>
    <col min="90" max="90" width="8.7109375" style="1" customWidth="1"/>
    <col min="91" max="91" width="8.8515625" style="1" customWidth="1"/>
    <col min="92" max="92" width="8.00390625" style="1" customWidth="1"/>
    <col min="93" max="93" width="4.28125" style="1" customWidth="1"/>
    <col min="94" max="94" width="19.28125" style="1" customWidth="1"/>
    <col min="95" max="95" width="10.57421875" style="1" customWidth="1"/>
    <col min="96" max="96" width="7.57421875" style="1" customWidth="1"/>
    <col min="97" max="97" width="1.7109375" style="1" customWidth="1"/>
    <col min="98" max="98" width="5.28125" style="1" customWidth="1"/>
    <col min="99" max="99" width="2.00390625" style="1" customWidth="1"/>
    <col min="100" max="100" width="7.8515625" style="1" customWidth="1"/>
    <col min="101" max="101" width="10.28125" style="1" customWidth="1"/>
    <col min="102" max="102" width="5.57421875" style="1" customWidth="1"/>
    <col min="103" max="104" width="8.8515625" style="1" customWidth="1"/>
    <col min="105" max="105" width="7.28125" style="1" customWidth="1"/>
    <col min="106" max="106" width="4.140625" style="1" customWidth="1"/>
    <col min="107" max="107" width="19.57421875" style="1" customWidth="1"/>
    <col min="108" max="108" width="12.57421875" style="1" customWidth="1"/>
    <col min="109" max="109" width="4.140625" style="1" customWidth="1"/>
    <col min="110" max="110" width="2.421875" style="1" customWidth="1"/>
    <col min="111" max="111" width="4.8515625" style="1" customWidth="1"/>
    <col min="112" max="112" width="7.57421875" style="1" customWidth="1"/>
    <col min="113" max="113" width="1.8515625" style="1" hidden="1" customWidth="1"/>
    <col min="114" max="114" width="10.8515625" style="1" customWidth="1"/>
    <col min="115" max="115" width="44.421875" style="1" customWidth="1"/>
    <col min="116" max="116" width="5.7109375" style="1" customWidth="1"/>
    <col min="117" max="117" width="11.7109375" style="1" customWidth="1"/>
    <col min="118" max="118" width="9.421875" style="1" customWidth="1"/>
    <col min="119" max="119" width="5.140625" style="1" customWidth="1"/>
    <col min="120" max="120" width="8.8515625" style="1" hidden="1" customWidth="1"/>
    <col min="121" max="121" width="3.57421875" style="1" customWidth="1"/>
    <col min="122" max="122" width="2.28125" style="1" customWidth="1"/>
    <col min="123" max="123" width="6.7109375" style="1" customWidth="1"/>
    <col min="124" max="124" width="7.57421875" style="1" customWidth="1"/>
    <col min="125" max="125" width="9.28125" style="1" customWidth="1"/>
    <col min="126" max="126" width="10.8515625" style="1" customWidth="1"/>
    <col min="127" max="127" width="26.57421875" style="1" customWidth="1"/>
    <col min="128" max="128" width="6.57421875" style="1" hidden="1" customWidth="1"/>
    <col min="129" max="130" width="9.57421875" style="1" customWidth="1"/>
    <col min="131" max="131" width="10.140625" style="1" customWidth="1"/>
    <col min="132" max="132" width="15.421875" style="1" customWidth="1"/>
    <col min="133" max="133" width="3.57421875" style="1" customWidth="1"/>
    <col min="134" max="134" width="3.421875" style="1" customWidth="1"/>
    <col min="135" max="135" width="10.28125" style="1" hidden="1" customWidth="1"/>
    <col min="136" max="136" width="9.8515625" style="1" hidden="1" customWidth="1"/>
    <col min="137" max="137" width="9.140625" style="1" customWidth="1"/>
    <col min="138" max="138" width="12.00390625" style="1" customWidth="1"/>
    <col min="139" max="139" width="10.421875" style="1" bestFit="1" customWidth="1"/>
    <col min="140" max="140" width="10.28125" style="1" customWidth="1"/>
    <col min="141" max="141" width="6.8515625" style="1" customWidth="1"/>
    <col min="142" max="142" width="11.00390625" style="1" customWidth="1"/>
    <col min="143" max="143" width="2.7109375" style="1" customWidth="1"/>
    <col min="144" max="145" width="10.421875" style="1" customWidth="1"/>
    <col min="146" max="146" width="6.28125" style="1" customWidth="1"/>
    <col min="147" max="147" width="11.00390625" style="1" customWidth="1"/>
    <col min="148" max="148" width="5.140625" style="1" customWidth="1"/>
    <col min="149" max="16384" width="9.140625" style="1" customWidth="1"/>
  </cols>
  <sheetData>
    <row r="1" spans="1:4" ht="12.75">
      <c r="A1" s="23"/>
      <c r="B1" s="835" t="s">
        <v>799</v>
      </c>
      <c r="C1" s="280" t="s">
        <v>69</v>
      </c>
      <c r="D1" s="279"/>
    </row>
    <row r="2" spans="1:148" ht="12.75">
      <c r="A2" s="784"/>
      <c r="B2" s="785"/>
      <c r="C2" s="786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6"/>
      <c r="AE2" s="2"/>
      <c r="AF2" s="3"/>
      <c r="AG2" s="3"/>
      <c r="AH2" s="3"/>
      <c r="AI2" s="3"/>
      <c r="AJ2" s="3"/>
      <c r="AK2" s="4"/>
      <c r="AO2" s="2"/>
      <c r="AP2" s="3"/>
      <c r="AQ2" s="3"/>
      <c r="AR2" s="3"/>
      <c r="AS2" s="3"/>
      <c r="AT2" s="3"/>
      <c r="AU2" s="3"/>
      <c r="AV2" s="4"/>
      <c r="AZ2" s="2"/>
      <c r="BA2" s="3"/>
      <c r="BB2" s="3"/>
      <c r="BC2" s="3"/>
      <c r="BD2" s="3"/>
      <c r="BE2" s="3"/>
      <c r="BF2" s="3"/>
      <c r="BG2" s="4"/>
      <c r="BJ2" s="2"/>
      <c r="BK2" s="3"/>
      <c r="BL2" s="3"/>
      <c r="BM2" s="3"/>
      <c r="BN2" s="3"/>
      <c r="BO2" s="3"/>
      <c r="BP2" s="3"/>
      <c r="BQ2" s="3"/>
      <c r="BR2" s="4"/>
      <c r="BS2" s="27"/>
      <c r="BT2" s="2"/>
      <c r="BU2" s="3"/>
      <c r="BV2" s="3"/>
      <c r="BW2" s="305"/>
      <c r="BX2" s="3"/>
      <c r="BY2" s="3"/>
      <c r="BZ2" s="3"/>
      <c r="CA2" s="3" t="s">
        <v>1079</v>
      </c>
      <c r="CB2" s="3"/>
      <c r="CC2" s="4"/>
      <c r="CH2" s="2"/>
      <c r="CI2" s="3"/>
      <c r="CJ2" s="3"/>
      <c r="CK2" s="3"/>
      <c r="CL2" s="3"/>
      <c r="CM2" s="3"/>
      <c r="CN2" s="3"/>
      <c r="CO2" s="3"/>
      <c r="CP2" s="3" t="s">
        <v>1079</v>
      </c>
      <c r="CQ2" s="3"/>
      <c r="CR2" s="4"/>
      <c r="CU2" s="2"/>
      <c r="CV2" s="3"/>
      <c r="CW2" s="3"/>
      <c r="CX2" s="3"/>
      <c r="CY2" s="3"/>
      <c r="CZ2" s="3"/>
      <c r="DA2" s="3"/>
      <c r="DB2" s="3"/>
      <c r="DC2" s="3"/>
      <c r="DD2" s="3"/>
      <c r="DE2" s="4"/>
      <c r="DH2" s="2"/>
      <c r="DI2" s="3"/>
      <c r="DJ2" s="3"/>
      <c r="DK2" s="3"/>
      <c r="DL2" s="3"/>
      <c r="DM2" s="3"/>
      <c r="DN2" s="3"/>
      <c r="DO2" s="3"/>
      <c r="DP2" s="3"/>
      <c r="DQ2" s="4"/>
      <c r="DT2" s="2"/>
      <c r="DU2" s="3"/>
      <c r="DV2" s="3"/>
      <c r="DW2" s="3"/>
      <c r="DX2" s="3"/>
      <c r="DY2" s="3"/>
      <c r="DZ2" s="3"/>
      <c r="EA2" s="3"/>
      <c r="EB2" s="3"/>
      <c r="EC2" s="4"/>
      <c r="EH2" s="342"/>
      <c r="EI2" s="343"/>
      <c r="EJ2" s="343"/>
      <c r="EK2" s="343"/>
      <c r="EL2" s="343"/>
      <c r="EM2" s="343"/>
      <c r="EN2" s="343"/>
      <c r="EO2" s="343"/>
      <c r="EP2" s="343"/>
      <c r="EQ2" s="343"/>
      <c r="ER2" s="344"/>
    </row>
    <row r="3" spans="1:148" ht="15" customHeight="1">
      <c r="A3" s="836" t="s">
        <v>441</v>
      </c>
      <c r="B3" s="785">
        <v>1.029</v>
      </c>
      <c r="C3" s="786">
        <v>39142</v>
      </c>
      <c r="D3" s="279"/>
      <c r="I3" s="1197" t="s">
        <v>1153</v>
      </c>
      <c r="J3" s="1197"/>
      <c r="K3" s="1197"/>
      <c r="O3" s="1203" t="s">
        <v>274</v>
      </c>
      <c r="P3" s="1174"/>
      <c r="Q3" s="1193" t="s">
        <v>4</v>
      </c>
      <c r="R3" s="1193"/>
      <c r="S3" s="1193"/>
      <c r="T3" s="1193"/>
      <c r="U3" s="1193"/>
      <c r="V3" s="1193"/>
      <c r="W3" s="1193"/>
      <c r="X3" s="90"/>
      <c r="Y3" s="1174" t="s">
        <v>1080</v>
      </c>
      <c r="Z3" s="1175"/>
      <c r="AA3" s="326"/>
      <c r="AE3" s="324" t="s">
        <v>1081</v>
      </c>
      <c r="AF3" s="1193" t="s">
        <v>13</v>
      </c>
      <c r="AG3" s="1193"/>
      <c r="AH3" s="1193"/>
      <c r="AI3" s="1193"/>
      <c r="AJ3" s="1174" t="s">
        <v>1080</v>
      </c>
      <c r="AK3" s="1175"/>
      <c r="AO3" s="324" t="s">
        <v>1081</v>
      </c>
      <c r="AP3" s="1193" t="s">
        <v>13</v>
      </c>
      <c r="AQ3" s="1193"/>
      <c r="AR3" s="1193"/>
      <c r="AS3" s="1193"/>
      <c r="AT3" s="1193"/>
      <c r="AU3" s="1174" t="s">
        <v>1080</v>
      </c>
      <c r="AV3" s="1175"/>
      <c r="AZ3" s="324" t="s">
        <v>1081</v>
      </c>
      <c r="BA3" s="1193" t="s">
        <v>15</v>
      </c>
      <c r="BB3" s="1193"/>
      <c r="BC3" s="1193"/>
      <c r="BD3" s="1193"/>
      <c r="BE3" s="1193"/>
      <c r="BF3" s="1193" t="s">
        <v>1080</v>
      </c>
      <c r="BG3" s="1214"/>
      <c r="BJ3" s="1203" t="s">
        <v>1082</v>
      </c>
      <c r="BK3" s="1174"/>
      <c r="BL3" s="1193" t="s">
        <v>16</v>
      </c>
      <c r="BM3" s="1193"/>
      <c r="BN3" s="1193"/>
      <c r="BO3" s="1193"/>
      <c r="BP3" s="1193"/>
      <c r="BQ3" s="1193" t="s">
        <v>1080</v>
      </c>
      <c r="BR3" s="1214"/>
      <c r="BS3" s="58"/>
      <c r="BT3" s="1216" t="s">
        <v>1083</v>
      </c>
      <c r="BU3" s="1193"/>
      <c r="BV3" s="1193" t="s">
        <v>29</v>
      </c>
      <c r="BW3" s="1193"/>
      <c r="BX3" s="1193"/>
      <c r="BY3" s="1193"/>
      <c r="BZ3" s="1193"/>
      <c r="CA3" s="1193"/>
      <c r="CB3" s="1193" t="s">
        <v>1080</v>
      </c>
      <c r="CC3" s="1214"/>
      <c r="CH3" s="1216" t="s">
        <v>275</v>
      </c>
      <c r="CI3" s="1193"/>
      <c r="CJ3" s="1193" t="s">
        <v>37</v>
      </c>
      <c r="CK3" s="1193"/>
      <c r="CL3" s="1193"/>
      <c r="CM3" s="1193"/>
      <c r="CN3" s="1193"/>
      <c r="CO3" s="1193"/>
      <c r="CP3" s="1193"/>
      <c r="CQ3" s="1193" t="s">
        <v>1080</v>
      </c>
      <c r="CR3" s="1214"/>
      <c r="CU3" s="1218" t="s">
        <v>276</v>
      </c>
      <c r="CV3" s="1219"/>
      <c r="CW3" s="1193" t="s">
        <v>43</v>
      </c>
      <c r="CX3" s="1193"/>
      <c r="CY3" s="1193"/>
      <c r="CZ3" s="1193"/>
      <c r="DA3" s="1193"/>
      <c r="DB3" s="1193"/>
      <c r="DC3" s="1193"/>
      <c r="DD3" s="1193" t="s">
        <v>1080</v>
      </c>
      <c r="DE3" s="1214"/>
      <c r="DH3" s="1216" t="s">
        <v>274</v>
      </c>
      <c r="DI3" s="1193"/>
      <c r="DJ3" s="1193"/>
      <c r="DK3" s="90" t="s">
        <v>39</v>
      </c>
      <c r="DL3" s="90"/>
      <c r="DM3" s="90"/>
      <c r="DN3" s="1193" t="s">
        <v>1080</v>
      </c>
      <c r="DO3" s="1193"/>
      <c r="DP3" s="1193"/>
      <c r="DQ3" s="1214"/>
      <c r="DT3" s="1216" t="s">
        <v>274</v>
      </c>
      <c r="DU3" s="1193"/>
      <c r="DV3" s="1193" t="s">
        <v>50</v>
      </c>
      <c r="DW3" s="1193"/>
      <c r="DX3" s="1193"/>
      <c r="DY3" s="1193"/>
      <c r="DZ3" s="1193"/>
      <c r="EA3" s="1193"/>
      <c r="EB3" s="1193" t="s">
        <v>1080</v>
      </c>
      <c r="EC3" s="1214"/>
      <c r="EH3" s="1221" t="s">
        <v>274</v>
      </c>
      <c r="EI3" s="1222"/>
      <c r="EJ3" s="1223" t="s">
        <v>442</v>
      </c>
      <c r="EK3" s="1223"/>
      <c r="EL3" s="1223"/>
      <c r="EM3" s="1223"/>
      <c r="EN3" s="1223"/>
      <c r="EO3" s="1223"/>
      <c r="EP3" s="1223"/>
      <c r="EQ3" s="1222"/>
      <c r="ER3" s="1224"/>
    </row>
    <row r="4" spans="1:148" ht="15">
      <c r="A4" s="837"/>
      <c r="B4" s="838"/>
      <c r="C4" s="839"/>
      <c r="D4" s="279"/>
      <c r="O4" s="1204"/>
      <c r="P4" s="1205"/>
      <c r="Q4" s="1193" t="s">
        <v>544</v>
      </c>
      <c r="R4" s="1193"/>
      <c r="S4" s="1193"/>
      <c r="T4" s="1193"/>
      <c r="U4" s="1193"/>
      <c r="V4" s="1193"/>
      <c r="W4" s="1193"/>
      <c r="X4" s="90"/>
      <c r="Y4" s="1176">
        <f>MAX(VLOOKUP("TV GERAL 01 40H",RHE,5,FALSE),VLOOKUP("TV TEC CIENTIFICO 01 40H",RHE,5,FALSE))</f>
        <v>41699</v>
      </c>
      <c r="Z4" s="1177"/>
      <c r="AA4" s="986"/>
      <c r="AE4" s="430"/>
      <c r="AF4" s="1193" t="s">
        <v>1477</v>
      </c>
      <c r="AG4" s="1193"/>
      <c r="AH4" s="1193"/>
      <c r="AI4" s="1193"/>
      <c r="AJ4" s="1194">
        <f>VLOOKUP("TV GERAL 01 40H",RHE,5,FALSE)</f>
        <v>41091</v>
      </c>
      <c r="AK4" s="1195"/>
      <c r="AO4" s="430"/>
      <c r="AP4" s="1193" t="s">
        <v>541</v>
      </c>
      <c r="AQ4" s="1193"/>
      <c r="AR4" s="1193"/>
      <c r="AS4" s="1193"/>
      <c r="AT4" s="1193"/>
      <c r="AU4" s="1194">
        <f>VLOOKUP("TV GERAL 01 40H",RHE,5,FALSE)</f>
        <v>41091</v>
      </c>
      <c r="AV4" s="1195"/>
      <c r="AZ4" s="430"/>
      <c r="BA4" s="1193" t="s">
        <v>542</v>
      </c>
      <c r="BB4" s="1193"/>
      <c r="BC4" s="1193"/>
      <c r="BD4" s="1193"/>
      <c r="BE4" s="1193"/>
      <c r="BF4" s="1194">
        <f>VLOOKUP("TV GERAL 01 40H",RHE,5,FALSE)</f>
        <v>41091</v>
      </c>
      <c r="BG4" s="1195"/>
      <c r="BJ4" s="5"/>
      <c r="BK4" s="433"/>
      <c r="BL4" s="1193" t="s">
        <v>543</v>
      </c>
      <c r="BM4" s="1193"/>
      <c r="BN4" s="1193"/>
      <c r="BO4" s="1193"/>
      <c r="BP4" s="1193"/>
      <c r="BQ4" s="1194">
        <f>VLOOKUP("TV TEC CIENTIFICO 01 40H",RHE,5,FALSE)</f>
        <v>41699</v>
      </c>
      <c r="BR4" s="1195"/>
      <c r="BS4" s="59"/>
      <c r="BT4" s="1218"/>
      <c r="BU4" s="1219"/>
      <c r="BV4" s="1193" t="s">
        <v>30</v>
      </c>
      <c r="BW4" s="1193"/>
      <c r="BX4" s="1193"/>
      <c r="BY4" s="1193"/>
      <c r="BZ4" s="1193"/>
      <c r="CA4" s="1193"/>
      <c r="CB4" s="1194">
        <f>MAX(VLOOKUP("TV GERAL 01 40H",RHE,5,FALSE),VLOOKUP("TV TEC CIENTIFICO 01 40H",RHE,5,FALSE),VLOOKUP("TV SALARIO MINIMO 01 40H",RHE,5,FALSE),VLOOKUP("TV BRIGADA MILITAR 15 40H",RHE,5,FALSE))</f>
        <v>41699</v>
      </c>
      <c r="CC4" s="1195"/>
      <c r="CH4" s="1218"/>
      <c r="CI4" s="1219"/>
      <c r="CJ4" s="1193" t="s">
        <v>30</v>
      </c>
      <c r="CK4" s="1193"/>
      <c r="CL4" s="1193"/>
      <c r="CM4" s="1193"/>
      <c r="CN4" s="1193"/>
      <c r="CO4" s="1193"/>
      <c r="CP4" s="1193"/>
      <c r="CQ4" s="1194">
        <f>MAX(VLOOKUP("TV GERAL 01 40H",RHE,5,FALSE),VLOOKUP("TV TEC CIENTIFICO 01 40H",RHE,5,FALSE),VLOOKUP("TV SALARIO MINIMO 01 40H",RHE,5,FALSE),VLOOKUP("TV BRIGADA MILITAR 15 40H",RHE,5,FALSE))</f>
        <v>41699</v>
      </c>
      <c r="CR4" s="1195"/>
      <c r="CU4" s="1218"/>
      <c r="CV4" s="1219"/>
      <c r="CW4" s="1193" t="s">
        <v>30</v>
      </c>
      <c r="CX4" s="1193"/>
      <c r="CY4" s="1193"/>
      <c r="CZ4" s="1193"/>
      <c r="DA4" s="1193"/>
      <c r="DB4" s="1193"/>
      <c r="DC4" s="1193"/>
      <c r="DD4" s="1194">
        <f>MAX(VLOOKUP("TV GERAL 01 40H",RHE,5,FALSE),VLOOKUP("TV TEC CIENTIFICO 01 40H",RHE,5,FALSE),VLOOKUP("TV SALARIO MINIMO 01 40H",RHE,5,FALSE),VLOOKUP("TV BRIGADA MILITAR 15 40H",RHE,5,FALSE))</f>
        <v>41699</v>
      </c>
      <c r="DE4" s="1195"/>
      <c r="DH4" s="1203"/>
      <c r="DI4" s="1174"/>
      <c r="DJ4" s="1174" t="s">
        <v>367</v>
      </c>
      <c r="DK4" s="1174"/>
      <c r="DL4" s="1174"/>
      <c r="DM4" s="1174"/>
      <c r="DN4" s="1194">
        <f>MAX(VLOOKUP("TV TEC CIENTIFICO 01 40H",RHE,5,FALSE),VLOOKUP("TV GERAL 01 40H",RHE,5,FALSE),VLOOKUP("TV SUSEPE 01 40H",RHE,5,FALSE))</f>
        <v>41699</v>
      </c>
      <c r="DO4" s="1194"/>
      <c r="DP4" s="1194"/>
      <c r="DQ4" s="1195"/>
      <c r="DT4" s="5"/>
      <c r="DU4" s="6"/>
      <c r="DV4" s="1174" t="s">
        <v>44</v>
      </c>
      <c r="DW4" s="1174"/>
      <c r="DX4" s="1174"/>
      <c r="DY4" s="1174"/>
      <c r="DZ4" s="1174"/>
      <c r="EA4" s="1174"/>
      <c r="EB4" s="1194">
        <f>VLOOKUP("TV GERAL 01 40H",RHE,5,FALSE)</f>
        <v>41091</v>
      </c>
      <c r="EC4" s="1195"/>
      <c r="EH4" s="1225"/>
      <c r="EI4" s="1226"/>
      <c r="EJ4" s="1223" t="s">
        <v>443</v>
      </c>
      <c r="EK4" s="1223"/>
      <c r="EL4" s="1223"/>
      <c r="EM4" s="1223"/>
      <c r="EN4" s="1223"/>
      <c r="EO4" s="1223"/>
      <c r="EP4" s="1223"/>
      <c r="EQ4" s="1227"/>
      <c r="ER4" s="1228"/>
    </row>
    <row r="5" spans="1:148" ht="15" customHeight="1">
      <c r="A5" s="787"/>
      <c r="B5" s="785"/>
      <c r="C5" s="786"/>
      <c r="D5" s="279"/>
      <c r="O5" s="8"/>
      <c r="P5" s="9"/>
      <c r="Q5" s="1206"/>
      <c r="R5" s="1206"/>
      <c r="S5" s="1206"/>
      <c r="T5" s="1206"/>
      <c r="U5" s="1206"/>
      <c r="V5" s="1206"/>
      <c r="W5" s="1206"/>
      <c r="X5" s="7"/>
      <c r="Y5" s="7"/>
      <c r="Z5" s="10"/>
      <c r="AA5" s="6"/>
      <c r="AE5" s="8"/>
      <c r="AF5" s="1193" t="s">
        <v>1478</v>
      </c>
      <c r="AG5" s="1193"/>
      <c r="AH5" s="1193"/>
      <c r="AI5" s="1193"/>
      <c r="AJ5" s="9"/>
      <c r="AK5" s="10"/>
      <c r="AO5" s="8"/>
      <c r="AP5" s="9"/>
      <c r="AQ5" s="9"/>
      <c r="AR5" s="9"/>
      <c r="AS5" s="9"/>
      <c r="AT5" s="9"/>
      <c r="AU5" s="9"/>
      <c r="AV5" s="10"/>
      <c r="AZ5" s="8"/>
      <c r="BA5" s="9"/>
      <c r="BB5" s="9"/>
      <c r="BC5" s="9"/>
      <c r="BD5" s="9"/>
      <c r="BE5" s="9"/>
      <c r="BF5" s="9"/>
      <c r="BG5" s="10"/>
      <c r="BJ5" s="8"/>
      <c r="BK5" s="9"/>
      <c r="BL5" s="9"/>
      <c r="BM5" s="9"/>
      <c r="BN5" s="9"/>
      <c r="BO5" s="9"/>
      <c r="BP5" s="9"/>
      <c r="BQ5" s="9"/>
      <c r="BR5" s="10"/>
      <c r="BS5" s="27"/>
      <c r="BT5" s="8"/>
      <c r="BU5" s="9"/>
      <c r="BV5" s="9"/>
      <c r="BW5" s="306"/>
      <c r="BX5" s="9"/>
      <c r="BY5" s="9"/>
      <c r="BZ5" s="9"/>
      <c r="CA5" s="9"/>
      <c r="CB5" s="9"/>
      <c r="CC5" s="10"/>
      <c r="CH5" s="8"/>
      <c r="CI5" s="9"/>
      <c r="CJ5" s="9"/>
      <c r="CK5" s="9"/>
      <c r="CL5" s="9"/>
      <c r="CM5" s="9"/>
      <c r="CN5" s="9"/>
      <c r="CO5" s="9"/>
      <c r="CP5" s="9"/>
      <c r="CQ5" s="9"/>
      <c r="CR5" s="10"/>
      <c r="CU5" s="8"/>
      <c r="CV5" s="9" t="s">
        <v>1079</v>
      </c>
      <c r="CW5" s="9"/>
      <c r="CX5" s="9"/>
      <c r="CY5" s="9" t="s">
        <v>1079</v>
      </c>
      <c r="CZ5" s="9"/>
      <c r="DA5" s="9"/>
      <c r="DB5" s="9"/>
      <c r="DC5" s="9" t="s">
        <v>1079</v>
      </c>
      <c r="DD5" s="9"/>
      <c r="DE5" s="10"/>
      <c r="DH5" s="8"/>
      <c r="DI5" s="9"/>
      <c r="DJ5" s="1206" t="s">
        <v>45</v>
      </c>
      <c r="DK5" s="1206"/>
      <c r="DL5" s="1206"/>
      <c r="DM5" s="1206"/>
      <c r="DN5" s="9"/>
      <c r="DO5" s="9"/>
      <c r="DP5" s="9"/>
      <c r="DQ5" s="10"/>
      <c r="DT5" s="8"/>
      <c r="DU5" s="9"/>
      <c r="DV5" s="1206" t="s">
        <v>45</v>
      </c>
      <c r="DW5" s="1206"/>
      <c r="DX5" s="1206"/>
      <c r="DY5" s="1206"/>
      <c r="DZ5" s="1206"/>
      <c r="EA5" s="1206"/>
      <c r="EB5" s="9"/>
      <c r="EC5" s="10"/>
      <c r="EH5" s="431"/>
      <c r="EI5" s="325"/>
      <c r="EJ5" s="1229"/>
      <c r="EK5" s="1229"/>
      <c r="EL5" s="1229"/>
      <c r="EM5" s="1229"/>
      <c r="EN5" s="1229"/>
      <c r="EO5" s="1229"/>
      <c r="EP5" s="1229"/>
      <c r="EQ5" s="345"/>
      <c r="ER5" s="346"/>
    </row>
    <row r="6" spans="1:148" ht="12.75">
      <c r="A6" s="787"/>
      <c r="B6" s="785"/>
      <c r="C6" s="786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8"/>
      <c r="AE6" s="11"/>
      <c r="AF6" s="12"/>
      <c r="AG6" s="12"/>
      <c r="AH6" s="12"/>
      <c r="AI6" s="12"/>
      <c r="AJ6" s="12"/>
      <c r="AK6" s="13"/>
      <c r="AO6" s="11"/>
      <c r="AP6" s="12"/>
      <c r="AQ6" s="12"/>
      <c r="AR6" s="12"/>
      <c r="AS6" s="12"/>
      <c r="AT6" s="12"/>
      <c r="AU6" s="12"/>
      <c r="AV6" s="13"/>
      <c r="AZ6" s="11"/>
      <c r="BA6" s="12"/>
      <c r="BB6" s="12"/>
      <c r="BC6" s="12"/>
      <c r="BD6" s="12"/>
      <c r="BE6" s="12"/>
      <c r="BF6" s="12"/>
      <c r="BG6" s="35"/>
      <c r="BJ6" s="11"/>
      <c r="BK6" s="12"/>
      <c r="BL6" s="12"/>
      <c r="BM6" s="12"/>
      <c r="BN6" s="12"/>
      <c r="BO6" s="12"/>
      <c r="BP6" s="12"/>
      <c r="BQ6" s="12"/>
      <c r="BR6" s="35"/>
      <c r="BS6" s="27"/>
      <c r="BT6" s="36"/>
      <c r="BU6" s="12"/>
      <c r="BV6" s="12"/>
      <c r="BW6" s="307"/>
      <c r="BX6" s="12"/>
      <c r="BY6" s="12"/>
      <c r="BZ6" s="12"/>
      <c r="CA6" s="12" t="s">
        <v>1079</v>
      </c>
      <c r="CB6" s="12"/>
      <c r="CC6" s="13"/>
      <c r="CH6" s="11"/>
      <c r="CI6" s="12"/>
      <c r="CJ6" s="12"/>
      <c r="CK6" s="12"/>
      <c r="CL6" s="12"/>
      <c r="CM6" s="12"/>
      <c r="CN6" s="12"/>
      <c r="CO6" s="12"/>
      <c r="CP6" s="12" t="s">
        <v>1079</v>
      </c>
      <c r="CQ6" s="12"/>
      <c r="CR6" s="13"/>
      <c r="CU6" s="11"/>
      <c r="CV6" s="12"/>
      <c r="CW6" s="12"/>
      <c r="CX6" s="12"/>
      <c r="CY6" s="12"/>
      <c r="CZ6" s="12"/>
      <c r="DA6" s="12"/>
      <c r="DB6" s="12"/>
      <c r="DC6" s="12"/>
      <c r="DD6" s="37"/>
      <c r="DE6" s="13" t="s">
        <v>277</v>
      </c>
      <c r="DH6" s="11"/>
      <c r="DI6" s="57"/>
      <c r="DJ6" s="57"/>
      <c r="DK6" s="12"/>
      <c r="DL6" s="12"/>
      <c r="DM6" s="12"/>
      <c r="DN6" s="12"/>
      <c r="DO6" s="12"/>
      <c r="DP6" s="12"/>
      <c r="DQ6" s="13"/>
      <c r="DT6" s="11"/>
      <c r="DU6" s="57"/>
      <c r="DV6" s="12"/>
      <c r="DW6" s="12"/>
      <c r="DX6" s="12"/>
      <c r="DY6" s="12"/>
      <c r="DZ6" s="12"/>
      <c r="EA6" s="12"/>
      <c r="EB6" s="12"/>
      <c r="EC6" s="13"/>
      <c r="EH6" s="347"/>
      <c r="EI6" s="12"/>
      <c r="EJ6" s="12"/>
      <c r="EK6" s="12"/>
      <c r="EL6" s="12"/>
      <c r="EM6" s="12"/>
      <c r="EN6" s="12"/>
      <c r="EO6" s="12"/>
      <c r="EP6" s="12"/>
      <c r="EQ6" s="12"/>
      <c r="ER6" s="348"/>
    </row>
    <row r="7" spans="1:148" ht="12.75">
      <c r="A7" s="787"/>
      <c r="B7" s="785"/>
      <c r="C7" s="786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8"/>
      <c r="AE7" s="14"/>
      <c r="AJ7" s="15"/>
      <c r="AK7" s="16"/>
      <c r="AO7" s="14"/>
      <c r="AU7" s="15"/>
      <c r="AV7" s="16"/>
      <c r="AZ7" s="14"/>
      <c r="BF7" s="15"/>
      <c r="BG7" s="34"/>
      <c r="BJ7" s="14"/>
      <c r="BR7" s="34"/>
      <c r="BS7" s="27"/>
      <c r="BT7" s="38"/>
      <c r="BZ7" s="15"/>
      <c r="CA7" s="15"/>
      <c r="CB7" s="15"/>
      <c r="CC7" s="16"/>
      <c r="CH7" s="14"/>
      <c r="CO7" s="15"/>
      <c r="CP7" s="15"/>
      <c r="CQ7" s="15"/>
      <c r="CR7" s="16"/>
      <c r="CU7" s="14"/>
      <c r="DB7" s="15"/>
      <c r="DC7" s="15"/>
      <c r="DD7" s="15"/>
      <c r="DE7" s="16"/>
      <c r="DH7" s="14"/>
      <c r="DI7" s="18"/>
      <c r="DJ7" s="18"/>
      <c r="DN7" s="15"/>
      <c r="DO7" s="15"/>
      <c r="DP7" s="15"/>
      <c r="DQ7" s="16"/>
      <c r="DT7" s="14"/>
      <c r="DU7" s="18"/>
      <c r="DV7" s="15"/>
      <c r="DW7" s="15"/>
      <c r="DX7" s="15"/>
      <c r="DY7" s="15"/>
      <c r="DZ7" s="15"/>
      <c r="EA7" s="15"/>
      <c r="EB7" s="15"/>
      <c r="EC7" s="16"/>
      <c r="EH7" s="349"/>
      <c r="EI7" s="15"/>
      <c r="EJ7" s="15"/>
      <c r="EK7" s="15"/>
      <c r="EL7" s="15"/>
      <c r="EM7" s="15"/>
      <c r="EN7" s="15"/>
      <c r="EO7" s="15"/>
      <c r="EP7" s="15"/>
      <c r="EQ7" s="15"/>
      <c r="ER7" s="350"/>
    </row>
    <row r="8" spans="1:148" ht="20.25" customHeight="1" thickBot="1">
      <c r="A8" s="766"/>
      <c r="B8" s="767"/>
      <c r="C8" s="768"/>
      <c r="I8" s="39" t="s">
        <v>721</v>
      </c>
      <c r="J8" s="40" t="s">
        <v>1408</v>
      </c>
      <c r="O8" s="14"/>
      <c r="P8" s="39" t="s">
        <v>721</v>
      </c>
      <c r="Q8" s="39" t="s">
        <v>0</v>
      </c>
      <c r="R8" s="39" t="s">
        <v>776</v>
      </c>
      <c r="S8" s="40" t="s">
        <v>1408</v>
      </c>
      <c r="T8" s="41"/>
      <c r="U8" s="39" t="s">
        <v>721</v>
      </c>
      <c r="V8" s="39" t="s">
        <v>0</v>
      </c>
      <c r="W8" s="39" t="s">
        <v>776</v>
      </c>
      <c r="X8" s="40" t="s">
        <v>1408</v>
      </c>
      <c r="Y8" s="271"/>
      <c r="Z8" s="16"/>
      <c r="AA8" s="18"/>
      <c r="AE8" s="14"/>
      <c r="AF8" s="39" t="s">
        <v>721</v>
      </c>
      <c r="AG8" s="39" t="s">
        <v>0</v>
      </c>
      <c r="AH8" s="39" t="s">
        <v>776</v>
      </c>
      <c r="AI8" s="56" t="s">
        <v>278</v>
      </c>
      <c r="AJ8" s="15"/>
      <c r="AK8" s="16"/>
      <c r="AO8" s="14"/>
      <c r="AP8" s="39" t="s">
        <v>721</v>
      </c>
      <c r="AQ8" s="39" t="s">
        <v>0</v>
      </c>
      <c r="AR8" s="39" t="s">
        <v>776</v>
      </c>
      <c r="AS8" s="40" t="s">
        <v>1408</v>
      </c>
      <c r="AT8" s="56" t="s">
        <v>278</v>
      </c>
      <c r="AU8" s="15"/>
      <c r="AV8" s="16"/>
      <c r="AZ8" s="14"/>
      <c r="BA8" s="39" t="s">
        <v>721</v>
      </c>
      <c r="BB8" s="39" t="s">
        <v>0</v>
      </c>
      <c r="BC8" s="39" t="s">
        <v>776</v>
      </c>
      <c r="BD8" s="56" t="s">
        <v>1408</v>
      </c>
      <c r="BE8" s="56" t="s">
        <v>545</v>
      </c>
      <c r="BF8" s="15"/>
      <c r="BG8" s="34"/>
      <c r="BJ8" s="14"/>
      <c r="BL8" s="39" t="s">
        <v>721</v>
      </c>
      <c r="BM8" s="39" t="s">
        <v>227</v>
      </c>
      <c r="BN8" s="39" t="s">
        <v>776</v>
      </c>
      <c r="BO8" s="40" t="s">
        <v>1408</v>
      </c>
      <c r="BP8" s="39" t="s">
        <v>546</v>
      </c>
      <c r="BR8" s="34"/>
      <c r="BS8" s="27"/>
      <c r="BT8" s="38"/>
      <c r="BU8" s="39" t="s">
        <v>721</v>
      </c>
      <c r="BV8" s="39" t="s">
        <v>0</v>
      </c>
      <c r="BW8" s="39" t="s">
        <v>776</v>
      </c>
      <c r="BX8" s="40" t="s">
        <v>1408</v>
      </c>
      <c r="BY8" s="271"/>
      <c r="BZ8" s="15"/>
      <c r="CC8" s="16"/>
      <c r="CH8" s="14"/>
      <c r="CI8" s="39" t="s">
        <v>721</v>
      </c>
      <c r="CJ8" s="39" t="s">
        <v>0</v>
      </c>
      <c r="CK8" s="39" t="s">
        <v>776</v>
      </c>
      <c r="CL8" s="40" t="s">
        <v>1408</v>
      </c>
      <c r="CM8" s="56" t="s">
        <v>38</v>
      </c>
      <c r="CN8" s="229"/>
      <c r="CO8" s="15"/>
      <c r="CP8" s="15" t="s">
        <v>1079</v>
      </c>
      <c r="CQ8" s="15"/>
      <c r="CR8" s="16"/>
      <c r="CU8" s="14"/>
      <c r="CV8" s="39" t="s">
        <v>721</v>
      </c>
      <c r="CW8" s="39" t="s">
        <v>0</v>
      </c>
      <c r="CX8" s="39" t="s">
        <v>776</v>
      </c>
      <c r="CY8" s="56" t="s">
        <v>1408</v>
      </c>
      <c r="CZ8" s="56" t="s">
        <v>279</v>
      </c>
      <c r="DA8" s="229"/>
      <c r="DB8" s="15"/>
      <c r="DC8" s="15" t="s">
        <v>1079</v>
      </c>
      <c r="DD8" s="15"/>
      <c r="DE8" s="16"/>
      <c r="DH8" s="14"/>
      <c r="DI8" s="18"/>
      <c r="DJ8" s="39" t="s">
        <v>721</v>
      </c>
      <c r="DK8" s="39" t="s">
        <v>227</v>
      </c>
      <c r="DL8" s="39"/>
      <c r="DM8" s="40" t="s">
        <v>1408</v>
      </c>
      <c r="DN8" s="271"/>
      <c r="DO8" s="271"/>
      <c r="DP8" s="15"/>
      <c r="DQ8" s="16"/>
      <c r="DT8" s="14"/>
      <c r="DU8" s="18"/>
      <c r="DV8" s="39" t="s">
        <v>721</v>
      </c>
      <c r="DW8" s="39" t="s">
        <v>227</v>
      </c>
      <c r="DX8" s="39"/>
      <c r="DY8" s="40" t="s">
        <v>1408</v>
      </c>
      <c r="DZ8" s="56" t="s">
        <v>286</v>
      </c>
      <c r="EB8" s="15"/>
      <c r="EC8" s="16"/>
      <c r="ED8" s="351"/>
      <c r="EE8" s="351"/>
      <c r="EF8" s="351"/>
      <c r="EH8" s="349"/>
      <c r="EI8" s="1231" t="s">
        <v>758</v>
      </c>
      <c r="EJ8" s="1232"/>
      <c r="EK8" s="1232"/>
      <c r="EL8" s="1232"/>
      <c r="EM8" s="1232"/>
      <c r="EN8" s="1232"/>
      <c r="EO8" s="1232"/>
      <c r="EP8" s="1233"/>
      <c r="EQ8" s="271"/>
      <c r="ER8" s="350"/>
    </row>
    <row r="9" spans="1:148" ht="13.5" thickBot="1">
      <c r="A9" s="787" t="s">
        <v>33</v>
      </c>
      <c r="B9" s="840">
        <v>0.69</v>
      </c>
      <c r="C9" s="768"/>
      <c r="D9" s="284"/>
      <c r="E9" s="62" t="s">
        <v>1155</v>
      </c>
      <c r="F9" s="63">
        <f>MAX(VLOOKUP("TV SALARIO MINIMO 01 40H",RHE,5,FALSE),VLOOKUP("TV BRIGADA MILITAR 15 40H",RHE,5,FALSE),VLOOKUP("TV JETON 1 SEM JORNADA",RHE,5,FALSE))</f>
        <v>41671</v>
      </c>
      <c r="I9" s="1198" t="s">
        <v>32</v>
      </c>
      <c r="J9" s="1200">
        <f>VLOOKUP("TV SALARIO MINIMO 01 40H",RHE,10,FALSE)</f>
        <v>724</v>
      </c>
      <c r="O9" s="14"/>
      <c r="T9" s="23"/>
      <c r="Z9" s="16"/>
      <c r="AA9" s="18"/>
      <c r="AB9" s="62" t="s">
        <v>1427</v>
      </c>
      <c r="AC9" s="63">
        <f>TAB_SUS_DATA_VAL</f>
        <v>41091</v>
      </c>
      <c r="AE9" s="14"/>
      <c r="AF9" s="15"/>
      <c r="AG9" s="15"/>
      <c r="AH9" s="15"/>
      <c r="AI9" s="15"/>
      <c r="AJ9" s="15"/>
      <c r="AK9" s="16"/>
      <c r="AO9" s="14"/>
      <c r="AP9" s="15"/>
      <c r="AQ9" s="15"/>
      <c r="AR9" s="15"/>
      <c r="AS9" s="15"/>
      <c r="AT9" s="15"/>
      <c r="AU9" s="15"/>
      <c r="AV9" s="16"/>
      <c r="AZ9" s="14"/>
      <c r="BA9" s="15"/>
      <c r="BB9" s="15"/>
      <c r="BC9" s="15"/>
      <c r="BD9" s="15"/>
      <c r="BE9" s="15"/>
      <c r="BF9" s="18"/>
      <c r="BG9" s="34"/>
      <c r="BJ9" s="14"/>
      <c r="BL9" s="15"/>
      <c r="BM9" s="15"/>
      <c r="BN9" s="15"/>
      <c r="BO9" s="15"/>
      <c r="BP9" s="15"/>
      <c r="BR9" s="34"/>
      <c r="BS9" s="27"/>
      <c r="BT9" s="38"/>
      <c r="BU9" s="60"/>
      <c r="BV9" s="15"/>
      <c r="BW9" s="60"/>
      <c r="BX9" s="960" t="s">
        <v>1079</v>
      </c>
      <c r="BY9" s="15"/>
      <c r="BZ9" s="15"/>
      <c r="CC9" s="16"/>
      <c r="CE9" s="62" t="s">
        <v>280</v>
      </c>
      <c r="CF9" s="63">
        <f>TAB02_DATA_VAL</f>
        <v>41699</v>
      </c>
      <c r="CH9" s="14"/>
      <c r="CI9" s="15"/>
      <c r="CJ9" s="15"/>
      <c r="CK9" s="15"/>
      <c r="CL9" s="15" t="s">
        <v>1079</v>
      </c>
      <c r="CM9" s="15" t="s">
        <v>1079</v>
      </c>
      <c r="CN9" s="15"/>
      <c r="CO9" s="15"/>
      <c r="CP9" s="15"/>
      <c r="CQ9" s="15"/>
      <c r="CR9" s="16"/>
      <c r="CU9" s="14"/>
      <c r="DA9" s="15" t="s">
        <v>1079</v>
      </c>
      <c r="DB9" s="15"/>
      <c r="DC9" s="15"/>
      <c r="DD9" s="15"/>
      <c r="DE9" s="16"/>
      <c r="DH9" s="14"/>
      <c r="DI9" s="18"/>
      <c r="DJ9" s="89"/>
      <c r="DK9" s="15"/>
      <c r="DL9" s="15"/>
      <c r="DM9" s="15"/>
      <c r="DN9" s="15"/>
      <c r="DO9" s="15"/>
      <c r="DP9" s="15"/>
      <c r="DQ9" s="16"/>
      <c r="DT9" s="14"/>
      <c r="DU9" s="18"/>
      <c r="DV9" s="29"/>
      <c r="DW9" s="29"/>
      <c r="DX9" s="29"/>
      <c r="DY9" s="29"/>
      <c r="DZ9" s="29"/>
      <c r="EB9" s="15"/>
      <c r="EC9" s="16"/>
      <c r="EH9" s="349"/>
      <c r="EI9" s="1234"/>
      <c r="EJ9" s="1235"/>
      <c r="EK9" s="1235"/>
      <c r="EL9" s="1235"/>
      <c r="EM9" s="1235"/>
      <c r="EN9" s="1235"/>
      <c r="EO9" s="1235"/>
      <c r="EP9" s="1236"/>
      <c r="EQ9" s="341"/>
      <c r="ER9" s="350"/>
    </row>
    <row r="10" spans="1:148" ht="13.5" thickBot="1">
      <c r="A10" s="787" t="s">
        <v>12</v>
      </c>
      <c r="B10" s="841">
        <v>24117.62</v>
      </c>
      <c r="C10" s="768">
        <v>40238</v>
      </c>
      <c r="D10" s="284"/>
      <c r="E10" s="64" t="s">
        <v>1155</v>
      </c>
      <c r="F10" s="796">
        <f>J9</f>
        <v>724</v>
      </c>
      <c r="G10" s="219"/>
      <c r="H10" s="219"/>
      <c r="I10" s="1199"/>
      <c r="J10" s="1201"/>
      <c r="L10" s="62" t="s">
        <v>282</v>
      </c>
      <c r="M10" s="63">
        <f>Y4</f>
        <v>41699</v>
      </c>
      <c r="N10" s="42"/>
      <c r="O10" s="14"/>
      <c r="P10" s="446" t="s">
        <v>1409</v>
      </c>
      <c r="Q10" s="1196" t="s">
        <v>151</v>
      </c>
      <c r="R10" s="447" t="s">
        <v>1292</v>
      </c>
      <c r="S10" s="805">
        <f>ROUNDDOWN(S13*0.25,2)</f>
        <v>88.81</v>
      </c>
      <c r="T10" s="23"/>
      <c r="U10" s="1184" t="s">
        <v>167</v>
      </c>
      <c r="V10" s="1185"/>
      <c r="W10" s="1185"/>
      <c r="X10" s="1186"/>
      <c r="Y10" s="111"/>
      <c r="Z10" s="16"/>
      <c r="AA10" s="18"/>
      <c r="AB10" s="64" t="s">
        <v>1428</v>
      </c>
      <c r="AC10" s="65">
        <f>AI10</f>
        <v>102.5</v>
      </c>
      <c r="AE10" s="14"/>
      <c r="AF10" s="446" t="s">
        <v>1409</v>
      </c>
      <c r="AG10" s="1196" t="s">
        <v>151</v>
      </c>
      <c r="AH10" s="447" t="s">
        <v>1292</v>
      </c>
      <c r="AI10" s="805">
        <f>ROUNDDOWN(AI13*0.25,2)</f>
        <v>102.5</v>
      </c>
      <c r="AJ10" s="15"/>
      <c r="AK10" s="16"/>
      <c r="AL10" s="62" t="s">
        <v>283</v>
      </c>
      <c r="AM10" s="63">
        <f>TAB_SUS_DATA_VAL</f>
        <v>41091</v>
      </c>
      <c r="AO10" s="14"/>
      <c r="AP10" s="446" t="s">
        <v>1409</v>
      </c>
      <c r="AQ10" s="1196" t="s">
        <v>151</v>
      </c>
      <c r="AR10" s="447" t="s">
        <v>1292</v>
      </c>
      <c r="AS10" s="808">
        <f aca="true" t="shared" si="0" ref="AS10:AS41">S10</f>
        <v>88.81</v>
      </c>
      <c r="AT10" s="805">
        <f>ROUNDDOWN(AT13*0.25,2)</f>
        <v>2.12</v>
      </c>
      <c r="AU10" s="15"/>
      <c r="AV10" s="16"/>
      <c r="AW10" s="43"/>
      <c r="AX10" s="62" t="s">
        <v>284</v>
      </c>
      <c r="AY10" s="63">
        <f>TAB_PEPA_DATA_VAL</f>
        <v>41091</v>
      </c>
      <c r="AZ10" s="14"/>
      <c r="BA10" s="446" t="s">
        <v>1409</v>
      </c>
      <c r="BB10" s="1220" t="s">
        <v>151</v>
      </c>
      <c r="BC10" s="447" t="s">
        <v>1292</v>
      </c>
      <c r="BD10" s="808">
        <f aca="true" t="shared" si="1" ref="BD10:BD41">S10</f>
        <v>88.81</v>
      </c>
      <c r="BE10" s="805">
        <f>ROUNDDOWN(BE13*0.25,2)</f>
        <v>21.02</v>
      </c>
      <c r="BF10" s="18"/>
      <c r="BG10" s="34"/>
      <c r="BJ10" s="14"/>
      <c r="BL10" s="1184" t="s">
        <v>167</v>
      </c>
      <c r="BM10" s="1185"/>
      <c r="BN10" s="1185"/>
      <c r="BO10" s="1185"/>
      <c r="BP10" s="1186"/>
      <c r="BR10" s="34"/>
      <c r="BS10" s="27"/>
      <c r="BT10" s="38"/>
      <c r="BU10" s="446" t="s">
        <v>1409</v>
      </c>
      <c r="BV10" s="1196" t="s">
        <v>172</v>
      </c>
      <c r="BW10" s="447" t="s">
        <v>1292</v>
      </c>
      <c r="BX10" s="805">
        <f>S10</f>
        <v>88.81</v>
      </c>
      <c r="BY10" s="30"/>
      <c r="BZ10" s="15"/>
      <c r="CC10" s="16"/>
      <c r="CE10" s="64" t="s">
        <v>281</v>
      </c>
      <c r="CF10" s="84">
        <f aca="true" t="shared" si="2" ref="CF10:CF41">CL10</f>
        <v>88.81</v>
      </c>
      <c r="CH10" s="14"/>
      <c r="CI10" s="446" t="s">
        <v>1409</v>
      </c>
      <c r="CJ10" s="1196" t="s">
        <v>172</v>
      </c>
      <c r="CK10" s="447" t="s">
        <v>1292</v>
      </c>
      <c r="CL10" s="808">
        <f aca="true" t="shared" si="3" ref="CL10:CL41">BX10</f>
        <v>88.81</v>
      </c>
      <c r="CM10" s="805">
        <f>AT10</f>
        <v>2.12</v>
      </c>
      <c r="CN10" s="30"/>
      <c r="CO10" s="15"/>
      <c r="CP10" s="15"/>
      <c r="CQ10" s="15"/>
      <c r="CR10" s="16"/>
      <c r="CU10" s="14"/>
      <c r="CV10" s="446" t="s">
        <v>1409</v>
      </c>
      <c r="CW10" s="1196" t="s">
        <v>172</v>
      </c>
      <c r="CX10" s="447" t="s">
        <v>1292</v>
      </c>
      <c r="CY10" s="808">
        <f aca="true" t="shared" si="4" ref="CY10:CY41">BX10</f>
        <v>88.81</v>
      </c>
      <c r="CZ10" s="805">
        <f>BE10</f>
        <v>21.02</v>
      </c>
      <c r="DA10" s="30"/>
      <c r="DB10" s="15"/>
      <c r="DC10" s="15"/>
      <c r="DD10" s="15"/>
      <c r="DE10" s="16"/>
      <c r="DH10" s="14"/>
      <c r="DJ10" s="446" t="s">
        <v>1409</v>
      </c>
      <c r="DK10" s="460" t="s">
        <v>1093</v>
      </c>
      <c r="DL10" s="481">
        <v>20</v>
      </c>
      <c r="DM10" s="805">
        <f>BX39</f>
        <v>1604.77</v>
      </c>
      <c r="DN10" s="961">
        <f>PARC_TEC_CIEN_20</f>
        <v>0</v>
      </c>
      <c r="DO10" s="491"/>
      <c r="DP10" s="15"/>
      <c r="DQ10" s="16"/>
      <c r="DT10" s="14"/>
      <c r="DU10" s="18"/>
      <c r="DV10" s="446" t="s">
        <v>1409</v>
      </c>
      <c r="DW10" s="460" t="s">
        <v>1093</v>
      </c>
      <c r="DX10" s="481">
        <v>20</v>
      </c>
      <c r="DY10" s="808">
        <f>DM10</f>
        <v>1604.77</v>
      </c>
      <c r="DZ10" s="805">
        <f>BP12</f>
        <v>651.45</v>
      </c>
      <c r="EB10" s="15"/>
      <c r="EC10" s="16"/>
      <c r="EH10" s="349"/>
      <c r="EI10" s="341"/>
      <c r="EJ10" s="341"/>
      <c r="EK10" s="341"/>
      <c r="EL10" s="797"/>
      <c r="EM10" s="23"/>
      <c r="EN10" s="111"/>
      <c r="EO10" s="341"/>
      <c r="EP10" s="341"/>
      <c r="EQ10" s="341"/>
      <c r="ER10" s="350"/>
    </row>
    <row r="11" spans="1:148" ht="12.75">
      <c r="A11" s="787" t="s">
        <v>364</v>
      </c>
      <c r="B11" s="842">
        <v>500.39</v>
      </c>
      <c r="C11" s="843">
        <v>38961</v>
      </c>
      <c r="D11" s="284"/>
      <c r="E11" s="66" t="s">
        <v>1156</v>
      </c>
      <c r="F11" s="65" t="e">
        <f>#REF!</f>
        <v>#REF!</v>
      </c>
      <c r="G11" s="87"/>
      <c r="H11" s="87"/>
      <c r="I11" s="962" t="s">
        <v>1154</v>
      </c>
      <c r="J11" s="803">
        <f>VLOOKUP("TV BRIGADA MILITAR 15 40H",RHE,10,FALSE)</f>
        <v>761.28</v>
      </c>
      <c r="L11" s="64" t="s">
        <v>281</v>
      </c>
      <c r="M11" s="65">
        <f aca="true" t="shared" si="5" ref="M11:M59">S10</f>
        <v>88.81</v>
      </c>
      <c r="N11" s="44"/>
      <c r="O11" s="14"/>
      <c r="P11" s="449" t="s">
        <v>1410</v>
      </c>
      <c r="Q11" s="1182"/>
      <c r="R11" s="450" t="s">
        <v>1302</v>
      </c>
      <c r="S11" s="806">
        <f>ROUNDDOWN(S13*0.5,2)</f>
        <v>177.62</v>
      </c>
      <c r="T11" s="24"/>
      <c r="Z11" s="16"/>
      <c r="AA11" s="18"/>
      <c r="AB11" s="66" t="s">
        <v>1429</v>
      </c>
      <c r="AC11" s="65">
        <f aca="true" t="shared" si="6" ref="AC11:AC58">AI11</f>
        <v>205</v>
      </c>
      <c r="AE11" s="14"/>
      <c r="AF11" s="449" t="s">
        <v>1410</v>
      </c>
      <c r="AG11" s="1182"/>
      <c r="AH11" s="450" t="s">
        <v>1302</v>
      </c>
      <c r="AI11" s="806">
        <f>ROUNDDOWN(AI13*0.5,2)</f>
        <v>205</v>
      </c>
      <c r="AJ11" s="15"/>
      <c r="AK11" s="16"/>
      <c r="AL11" s="64" t="s">
        <v>287</v>
      </c>
      <c r="AM11" s="65">
        <f>SUS01</f>
        <v>8.5</v>
      </c>
      <c r="AO11" s="14"/>
      <c r="AP11" s="449" t="s">
        <v>1410</v>
      </c>
      <c r="AQ11" s="1182"/>
      <c r="AR11" s="450" t="s">
        <v>1302</v>
      </c>
      <c r="AS11" s="809">
        <f t="shared" si="0"/>
        <v>177.62</v>
      </c>
      <c r="AT11" s="806">
        <f>ROUNDDOWN(AT13*0.5,2)</f>
        <v>4.25</v>
      </c>
      <c r="AU11" s="15"/>
      <c r="AV11" s="16"/>
      <c r="AW11" s="44"/>
      <c r="AX11" s="64" t="s">
        <v>288</v>
      </c>
      <c r="AY11" s="65">
        <f>PEPA01</f>
        <v>84.1</v>
      </c>
      <c r="AZ11" s="14"/>
      <c r="BA11" s="449" t="s">
        <v>1410</v>
      </c>
      <c r="BB11" s="1215"/>
      <c r="BC11" s="450" t="s">
        <v>1302</v>
      </c>
      <c r="BD11" s="809">
        <f t="shared" si="1"/>
        <v>177.62</v>
      </c>
      <c r="BE11" s="806">
        <f>ROUNDDOWN(BE13*0.5,2)</f>
        <v>42.05</v>
      </c>
      <c r="BF11" s="18"/>
      <c r="BG11" s="34"/>
      <c r="BJ11" s="14"/>
      <c r="BR11" s="34"/>
      <c r="BS11" s="27"/>
      <c r="BT11" s="38"/>
      <c r="BU11" s="449" t="s">
        <v>1410</v>
      </c>
      <c r="BV11" s="1182"/>
      <c r="BW11" s="450" t="s">
        <v>1302</v>
      </c>
      <c r="BX11" s="806">
        <f>S11</f>
        <v>177.62</v>
      </c>
      <c r="BY11" s="30"/>
      <c r="BZ11" s="24"/>
      <c r="CC11" s="16"/>
      <c r="CE11" s="66" t="s">
        <v>285</v>
      </c>
      <c r="CF11" s="85">
        <f t="shared" si="2"/>
        <v>177.62</v>
      </c>
      <c r="CH11" s="14"/>
      <c r="CI11" s="449" t="s">
        <v>1410</v>
      </c>
      <c r="CJ11" s="1182"/>
      <c r="CK11" s="450" t="s">
        <v>1302</v>
      </c>
      <c r="CL11" s="809">
        <f t="shared" si="3"/>
        <v>177.62</v>
      </c>
      <c r="CM11" s="806">
        <f>AT11</f>
        <v>4.25</v>
      </c>
      <c r="CN11" s="30"/>
      <c r="CO11" s="24"/>
      <c r="CP11" s="15"/>
      <c r="CQ11" s="15"/>
      <c r="CR11" s="16"/>
      <c r="CU11" s="14"/>
      <c r="CV11" s="449" t="s">
        <v>1410</v>
      </c>
      <c r="CW11" s="1182"/>
      <c r="CX11" s="450" t="s">
        <v>1302</v>
      </c>
      <c r="CY11" s="809">
        <f t="shared" si="4"/>
        <v>177.62</v>
      </c>
      <c r="CZ11" s="806">
        <f>BE11</f>
        <v>42.05</v>
      </c>
      <c r="DA11" s="30"/>
      <c r="DB11" s="24"/>
      <c r="DC11" s="15"/>
      <c r="DD11" s="15"/>
      <c r="DE11" s="16"/>
      <c r="DH11" s="14"/>
      <c r="DJ11" s="449" t="s">
        <v>1410</v>
      </c>
      <c r="DK11" s="462" t="s">
        <v>1105</v>
      </c>
      <c r="DL11" s="482">
        <v>20</v>
      </c>
      <c r="DM11" s="806">
        <f>BX39</f>
        <v>1604.77</v>
      </c>
      <c r="DN11" s="961">
        <f>PARC_TEC_CIEN_20</f>
        <v>0</v>
      </c>
      <c r="DO11" s="491"/>
      <c r="DP11" s="15"/>
      <c r="DQ11" s="16"/>
      <c r="DT11" s="14"/>
      <c r="DU11" s="18"/>
      <c r="DV11" s="449" t="s">
        <v>1410</v>
      </c>
      <c r="DW11" s="462" t="s">
        <v>1105</v>
      </c>
      <c r="DX11" s="482">
        <v>20</v>
      </c>
      <c r="DY11" s="809">
        <f aca="true" t="shared" si="7" ref="DY11:DY25">DM11</f>
        <v>1604.77</v>
      </c>
      <c r="DZ11" s="806">
        <f>BP12</f>
        <v>651.45</v>
      </c>
      <c r="EB11" s="15"/>
      <c r="EC11" s="16"/>
      <c r="EE11" s="62" t="s">
        <v>444</v>
      </c>
      <c r="EF11" s="63">
        <f>TAB19_DATA_VAL</f>
        <v>0</v>
      </c>
      <c r="EH11" s="349"/>
      <c r="EI11" s="1237" t="s">
        <v>759</v>
      </c>
      <c r="EJ11" s="1238"/>
      <c r="EK11" s="1238"/>
      <c r="EL11" s="1238"/>
      <c r="EM11" s="1238"/>
      <c r="EN11" s="1238"/>
      <c r="EO11" s="1238"/>
      <c r="EP11" s="1239"/>
      <c r="EQ11" s="15"/>
      <c r="ER11" s="350"/>
    </row>
    <row r="12" spans="1:148" ht="13.5" thickBot="1">
      <c r="A12" s="787" t="s">
        <v>440</v>
      </c>
      <c r="B12" s="842">
        <v>752.13</v>
      </c>
      <c r="C12" s="843">
        <v>38961</v>
      </c>
      <c r="D12" s="284"/>
      <c r="E12" s="67" t="s">
        <v>1157</v>
      </c>
      <c r="F12" s="83">
        <f>J11</f>
        <v>761.28</v>
      </c>
      <c r="G12" s="87"/>
      <c r="H12" s="87"/>
      <c r="I12" s="794" t="s">
        <v>1059</v>
      </c>
      <c r="J12" s="803">
        <f>X44</f>
        <v>355.25</v>
      </c>
      <c r="L12" s="66" t="s">
        <v>285</v>
      </c>
      <c r="M12" s="65">
        <f t="shared" si="5"/>
        <v>177.62</v>
      </c>
      <c r="N12" s="44"/>
      <c r="O12" s="14"/>
      <c r="P12" s="449" t="s">
        <v>1411</v>
      </c>
      <c r="Q12" s="1182"/>
      <c r="R12" s="450" t="s">
        <v>1312</v>
      </c>
      <c r="S12" s="806">
        <f>ROUNDDOWN(S13*0.75,2)</f>
        <v>266.43</v>
      </c>
      <c r="T12" s="24"/>
      <c r="U12" s="446">
        <v>50</v>
      </c>
      <c r="V12" s="1196" t="s">
        <v>171</v>
      </c>
      <c r="W12" s="447" t="s">
        <v>1302</v>
      </c>
      <c r="X12" s="805">
        <f>ROUNDDOWN(X14*0.5,2)</f>
        <v>1604.77</v>
      </c>
      <c r="Y12" s="949">
        <f>ROUNDDOWN(Y14*0.5,2)</f>
        <v>0</v>
      </c>
      <c r="Z12" s="16"/>
      <c r="AA12" s="18"/>
      <c r="AB12" s="66" t="s">
        <v>1430</v>
      </c>
      <c r="AC12" s="65">
        <f t="shared" si="6"/>
        <v>307.5</v>
      </c>
      <c r="AE12" s="14"/>
      <c r="AF12" s="449" t="s">
        <v>1411</v>
      </c>
      <c r="AG12" s="1182"/>
      <c r="AH12" s="450" t="s">
        <v>1312</v>
      </c>
      <c r="AI12" s="806">
        <f>ROUNDDOWN(AI13*0.75,2)</f>
        <v>307.5</v>
      </c>
      <c r="AJ12" s="15"/>
      <c r="AK12" s="16"/>
      <c r="AL12" s="66" t="s">
        <v>290</v>
      </c>
      <c r="AM12" s="65">
        <f>SUS02</f>
        <v>10.1</v>
      </c>
      <c r="AO12" s="14"/>
      <c r="AP12" s="449" t="s">
        <v>1411</v>
      </c>
      <c r="AQ12" s="1182"/>
      <c r="AR12" s="450" t="s">
        <v>1312</v>
      </c>
      <c r="AS12" s="809">
        <f t="shared" si="0"/>
        <v>266.43</v>
      </c>
      <c r="AT12" s="806">
        <f>ROUNDDOWN(AT13*0.75,2)</f>
        <v>6.37</v>
      </c>
      <c r="AU12" s="15"/>
      <c r="AV12" s="16"/>
      <c r="AW12" s="44"/>
      <c r="AX12" s="66" t="s">
        <v>291</v>
      </c>
      <c r="AY12" s="65">
        <f>PEPA02</f>
        <v>139.5</v>
      </c>
      <c r="AZ12" s="14"/>
      <c r="BA12" s="449" t="s">
        <v>1411</v>
      </c>
      <c r="BB12" s="1215"/>
      <c r="BC12" s="450" t="s">
        <v>1312</v>
      </c>
      <c r="BD12" s="809">
        <f t="shared" si="1"/>
        <v>266.43</v>
      </c>
      <c r="BE12" s="806">
        <f>ROUNDDOWN(BE13*0.75,2)</f>
        <v>63.07</v>
      </c>
      <c r="BF12" s="18"/>
      <c r="BG12" s="34"/>
      <c r="BJ12" s="14"/>
      <c r="BL12" s="446">
        <v>50</v>
      </c>
      <c r="BM12" s="1196" t="s">
        <v>171</v>
      </c>
      <c r="BN12" s="447" t="s">
        <v>1302</v>
      </c>
      <c r="BO12" s="808">
        <f aca="true" t="shared" si="8" ref="BO12:BO23">X12</f>
        <v>1604.77</v>
      </c>
      <c r="BP12" s="824">
        <f>ROUNDDOWN(BP14*0.5,2)</f>
        <v>651.45</v>
      </c>
      <c r="BR12" s="34"/>
      <c r="BS12" s="27"/>
      <c r="BT12" s="38"/>
      <c r="BU12" s="449" t="s">
        <v>1411</v>
      </c>
      <c r="BV12" s="1182"/>
      <c r="BW12" s="450" t="s">
        <v>1312</v>
      </c>
      <c r="BX12" s="806">
        <f>S12</f>
        <v>266.43</v>
      </c>
      <c r="BY12" s="30"/>
      <c r="BZ12" s="23"/>
      <c r="CC12" s="16"/>
      <c r="CE12" s="66" t="s">
        <v>289</v>
      </c>
      <c r="CF12" s="65">
        <f t="shared" si="2"/>
        <v>266.43</v>
      </c>
      <c r="CH12" s="14"/>
      <c r="CI12" s="449" t="s">
        <v>1411</v>
      </c>
      <c r="CJ12" s="1182"/>
      <c r="CK12" s="450" t="s">
        <v>1312</v>
      </c>
      <c r="CL12" s="809">
        <f t="shared" si="3"/>
        <v>266.43</v>
      </c>
      <c r="CM12" s="806">
        <f>AT12</f>
        <v>6.37</v>
      </c>
      <c r="CN12" s="30"/>
      <c r="CO12" s="23"/>
      <c r="CP12" s="15"/>
      <c r="CQ12" s="15"/>
      <c r="CR12" s="16"/>
      <c r="CU12" s="14"/>
      <c r="CV12" s="449" t="s">
        <v>1411</v>
      </c>
      <c r="CW12" s="1182"/>
      <c r="CX12" s="450" t="s">
        <v>1312</v>
      </c>
      <c r="CY12" s="809">
        <f t="shared" si="4"/>
        <v>266.43</v>
      </c>
      <c r="CZ12" s="806">
        <f>BE12</f>
        <v>63.07</v>
      </c>
      <c r="DA12" s="30"/>
      <c r="DB12" s="23"/>
      <c r="DC12" s="15"/>
      <c r="DD12" s="15"/>
      <c r="DE12" s="16"/>
      <c r="DH12" s="14"/>
      <c r="DJ12" s="449" t="s">
        <v>1411</v>
      </c>
      <c r="DK12" s="462" t="s">
        <v>1104</v>
      </c>
      <c r="DL12" s="482">
        <v>30</v>
      </c>
      <c r="DM12" s="806">
        <f>BX40</f>
        <v>2407.15</v>
      </c>
      <c r="DN12" s="961">
        <f>PARC_TEC_CIEN_30</f>
        <v>0</v>
      </c>
      <c r="DO12" s="491"/>
      <c r="DQ12" s="16"/>
      <c r="DT12" s="14"/>
      <c r="DU12" s="18"/>
      <c r="DV12" s="449" t="s">
        <v>1411</v>
      </c>
      <c r="DW12" s="462" t="s">
        <v>1104</v>
      </c>
      <c r="DX12" s="482">
        <v>30</v>
      </c>
      <c r="DY12" s="809">
        <f t="shared" si="7"/>
        <v>2407.15</v>
      </c>
      <c r="DZ12" s="806">
        <f>BP13</f>
        <v>977.17</v>
      </c>
      <c r="EB12" s="24"/>
      <c r="EC12" s="16"/>
      <c r="EE12" s="64" t="s">
        <v>281</v>
      </c>
      <c r="EF12" s="65">
        <f aca="true" t="shared" si="9" ref="EF12:EF48">EL12</f>
        <v>0</v>
      </c>
      <c r="EH12" s="349"/>
      <c r="EI12" s="1240"/>
      <c r="EJ12" s="1241"/>
      <c r="EK12" s="1241"/>
      <c r="EL12" s="1241"/>
      <c r="EM12" s="1241"/>
      <c r="EN12" s="1241"/>
      <c r="EO12" s="1241"/>
      <c r="EP12" s="1242"/>
      <c r="EQ12" s="29"/>
      <c r="ER12" s="350"/>
    </row>
    <row r="13" spans="2:148" ht="12.75">
      <c r="B13" s="26"/>
      <c r="D13" s="284"/>
      <c r="E13" s="82"/>
      <c r="F13" s="77"/>
      <c r="G13" s="87"/>
      <c r="H13" s="87"/>
      <c r="I13" s="794" t="s">
        <v>1060</v>
      </c>
      <c r="J13" s="803">
        <f>X45</f>
        <v>17.76</v>
      </c>
      <c r="L13" s="66" t="s">
        <v>289</v>
      </c>
      <c r="M13" s="65">
        <f t="shared" si="5"/>
        <v>266.43</v>
      </c>
      <c r="N13" s="44"/>
      <c r="O13" s="14"/>
      <c r="P13" s="1022" t="s">
        <v>1412</v>
      </c>
      <c r="Q13" s="1202"/>
      <c r="R13" s="474" t="s">
        <v>198</v>
      </c>
      <c r="S13" s="1023">
        <f>VLOOKUP("TV GERAL 01 40H",RHE,10,FALSE)</f>
        <v>355.25</v>
      </c>
      <c r="T13"/>
      <c r="U13" s="449">
        <v>51</v>
      </c>
      <c r="V13" s="1182"/>
      <c r="W13" s="450" t="s">
        <v>1312</v>
      </c>
      <c r="X13" s="806">
        <f>ROUNDDOWN(X14*0.75,2)</f>
        <v>2407.15</v>
      </c>
      <c r="Y13" s="949">
        <f>ROUNDDOWN(Y14*0.75,2)</f>
        <v>0</v>
      </c>
      <c r="Z13" s="16"/>
      <c r="AA13" s="18"/>
      <c r="AB13" s="66" t="s">
        <v>1431</v>
      </c>
      <c r="AC13" s="65">
        <f t="shared" si="6"/>
        <v>410</v>
      </c>
      <c r="AE13" s="14"/>
      <c r="AF13" s="506" t="s">
        <v>1412</v>
      </c>
      <c r="AG13" s="1192"/>
      <c r="AH13" s="504" t="s">
        <v>198</v>
      </c>
      <c r="AI13" s="818">
        <f>VLOOKUP("TV GERAL 01 40H",RHE,18,FALSE)</f>
        <v>410</v>
      </c>
      <c r="AJ13" s="15"/>
      <c r="AK13" s="16"/>
      <c r="AL13" s="66" t="s">
        <v>61</v>
      </c>
      <c r="AM13" s="65">
        <f>SUS03</f>
        <v>11.6</v>
      </c>
      <c r="AO13" s="14"/>
      <c r="AP13" s="506" t="s">
        <v>1412</v>
      </c>
      <c r="AQ13" s="1192"/>
      <c r="AR13" s="504" t="s">
        <v>198</v>
      </c>
      <c r="AS13" s="816">
        <f t="shared" si="0"/>
        <v>355.25</v>
      </c>
      <c r="AT13" s="818">
        <f>VLOOKUP("TV GERAL 01 40H",RHE,12,FALSE)</f>
        <v>8.5</v>
      </c>
      <c r="AU13" s="15"/>
      <c r="AV13" s="16"/>
      <c r="AW13" s="44"/>
      <c r="AX13" s="66" t="s">
        <v>62</v>
      </c>
      <c r="AY13" s="65">
        <f>PEPA03</f>
        <v>251.8</v>
      </c>
      <c r="AZ13" s="14"/>
      <c r="BA13" s="506" t="s">
        <v>1412</v>
      </c>
      <c r="BB13" s="1215"/>
      <c r="BC13" s="504" t="s">
        <v>198</v>
      </c>
      <c r="BD13" s="816">
        <f t="shared" si="1"/>
        <v>355.25</v>
      </c>
      <c r="BE13" s="818">
        <f>VLOOKUP("TV GERAL 01 40H",RHE,14,FALSE)</f>
        <v>84.1</v>
      </c>
      <c r="BF13" s="18"/>
      <c r="BG13" s="34"/>
      <c r="BJ13" s="14"/>
      <c r="BL13" s="449">
        <v>51</v>
      </c>
      <c r="BM13" s="1182"/>
      <c r="BN13" s="450" t="s">
        <v>1312</v>
      </c>
      <c r="BO13" s="809">
        <f t="shared" si="8"/>
        <v>2407.15</v>
      </c>
      <c r="BP13" s="825">
        <f>ROUNDDOWN(BP14*0.75,2)</f>
        <v>977.17</v>
      </c>
      <c r="BR13" s="34"/>
      <c r="BS13" s="27"/>
      <c r="BT13" s="38"/>
      <c r="BU13" s="449" t="s">
        <v>1412</v>
      </c>
      <c r="BV13" s="1182"/>
      <c r="BW13" s="450" t="s">
        <v>1312</v>
      </c>
      <c r="BX13" s="806">
        <f>S12</f>
        <v>266.43</v>
      </c>
      <c r="BY13" s="30"/>
      <c r="BZ13" s="23"/>
      <c r="CC13" s="16"/>
      <c r="CE13" s="66" t="s">
        <v>60</v>
      </c>
      <c r="CF13" s="65">
        <f t="shared" si="2"/>
        <v>266.43</v>
      </c>
      <c r="CH13" s="14"/>
      <c r="CI13" s="449" t="s">
        <v>1412</v>
      </c>
      <c r="CJ13" s="1182"/>
      <c r="CK13" s="450" t="s">
        <v>1312</v>
      </c>
      <c r="CL13" s="809">
        <f t="shared" si="3"/>
        <v>266.43</v>
      </c>
      <c r="CM13" s="806">
        <f>AT12</f>
        <v>6.37</v>
      </c>
      <c r="CN13" s="30"/>
      <c r="CO13" s="23"/>
      <c r="CP13" s="15"/>
      <c r="CQ13" s="28"/>
      <c r="CR13" s="16"/>
      <c r="CU13" s="14"/>
      <c r="CV13" s="449" t="s">
        <v>1412</v>
      </c>
      <c r="CW13" s="1182"/>
      <c r="CX13" s="450" t="s">
        <v>1312</v>
      </c>
      <c r="CY13" s="809">
        <f t="shared" si="4"/>
        <v>266.43</v>
      </c>
      <c r="CZ13" s="806">
        <f>CZ12</f>
        <v>63.07</v>
      </c>
      <c r="DA13" s="30"/>
      <c r="DB13" s="23"/>
      <c r="DC13" s="15"/>
      <c r="DD13" s="28"/>
      <c r="DE13" s="16"/>
      <c r="DH13" s="14"/>
      <c r="DJ13" s="449" t="s">
        <v>1412</v>
      </c>
      <c r="DK13" s="462" t="s">
        <v>1094</v>
      </c>
      <c r="DL13" s="482">
        <v>30</v>
      </c>
      <c r="DM13" s="806">
        <f>BX40</f>
        <v>2407.15</v>
      </c>
      <c r="DN13" s="961">
        <f>PARC_TEC_CIEN_30</f>
        <v>0</v>
      </c>
      <c r="DO13" s="491"/>
      <c r="DQ13" s="16"/>
      <c r="DT13" s="14"/>
      <c r="DU13" s="18"/>
      <c r="DV13" s="449" t="s">
        <v>1412</v>
      </c>
      <c r="DW13" s="462" t="s">
        <v>1094</v>
      </c>
      <c r="DX13" s="482">
        <v>30</v>
      </c>
      <c r="DY13" s="809">
        <f t="shared" si="7"/>
        <v>2407.15</v>
      </c>
      <c r="DZ13" s="806">
        <f>BP13</f>
        <v>977.17</v>
      </c>
      <c r="EB13" s="24"/>
      <c r="EC13" s="16"/>
      <c r="EE13" s="66" t="s">
        <v>285</v>
      </c>
      <c r="EF13" s="65">
        <f t="shared" si="9"/>
        <v>0</v>
      </c>
      <c r="EH13" s="349"/>
      <c r="EI13" s="353"/>
      <c r="EJ13" s="131"/>
      <c r="EK13" s="318"/>
      <c r="EL13" s="29"/>
      <c r="EM13" s="352"/>
      <c r="EN13" s="353"/>
      <c r="EO13" s="318"/>
      <c r="EP13" s="61"/>
      <c r="EQ13" s="29"/>
      <c r="ER13" s="350"/>
    </row>
    <row r="14" spans="1:148" ht="13.5" customHeight="1" thickBot="1">
      <c r="A14" s="787"/>
      <c r="B14" s="767"/>
      <c r="C14" s="768"/>
      <c r="D14" s="284"/>
      <c r="E14" s="82"/>
      <c r="F14" s="77"/>
      <c r="G14" s="87"/>
      <c r="H14" s="87"/>
      <c r="I14" s="794" t="s">
        <v>1061</v>
      </c>
      <c r="J14" s="803">
        <f>X46</f>
        <v>0</v>
      </c>
      <c r="L14" s="66" t="s">
        <v>60</v>
      </c>
      <c r="M14" s="65">
        <f t="shared" si="5"/>
        <v>355.25</v>
      </c>
      <c r="N14" s="44"/>
      <c r="O14" s="14"/>
      <c r="P14" s="471" t="s">
        <v>1413</v>
      </c>
      <c r="Q14" s="1181" t="s">
        <v>152</v>
      </c>
      <c r="R14" s="472" t="s">
        <v>1302</v>
      </c>
      <c r="S14" s="806">
        <f>ROUNDDOWN(S16*0.5,2)</f>
        <v>185.82</v>
      </c>
      <c r="T14" s="24"/>
      <c r="U14" s="1022">
        <v>52</v>
      </c>
      <c r="V14" s="1202"/>
      <c r="W14" s="474" t="s">
        <v>198</v>
      </c>
      <c r="X14" s="1023">
        <f>VLOOKUP("TV TEC CIENTIFICO 01 40H",RHE,10,FALSE)</f>
        <v>3209.54</v>
      </c>
      <c r="Y14" s="949">
        <f>VLOOKUP("TV TEC CIENTIFICO 01 40H",RHE,12,FALSE)</f>
        <v>0</v>
      </c>
      <c r="Z14" s="16"/>
      <c r="AA14" s="18"/>
      <c r="AB14" s="66" t="s">
        <v>1432</v>
      </c>
      <c r="AC14" s="65">
        <f t="shared" si="6"/>
        <v>200</v>
      </c>
      <c r="AE14" s="14"/>
      <c r="AF14" s="508" t="s">
        <v>1413</v>
      </c>
      <c r="AG14" s="1191" t="s">
        <v>152</v>
      </c>
      <c r="AH14" s="509" t="s">
        <v>1302</v>
      </c>
      <c r="AI14" s="819">
        <f>ROUNDDOWN(AI16*0.5,2)</f>
        <v>200</v>
      </c>
      <c r="AJ14" s="15"/>
      <c r="AK14" s="16"/>
      <c r="AL14" s="67" t="s">
        <v>64</v>
      </c>
      <c r="AM14" s="83">
        <f>SUS04</f>
        <v>13.4</v>
      </c>
      <c r="AO14" s="14"/>
      <c r="AP14" s="508" t="s">
        <v>1413</v>
      </c>
      <c r="AQ14" s="1191" t="s">
        <v>152</v>
      </c>
      <c r="AR14" s="509" t="s">
        <v>1302</v>
      </c>
      <c r="AS14" s="817">
        <f t="shared" si="0"/>
        <v>185.82</v>
      </c>
      <c r="AT14" s="819">
        <f>ROUNDDOWN(AT16*0.5,2)</f>
        <v>4.25</v>
      </c>
      <c r="AU14" s="15"/>
      <c r="AV14" s="16"/>
      <c r="AW14" s="44"/>
      <c r="AX14" s="66" t="s">
        <v>862</v>
      </c>
      <c r="AY14" s="65">
        <f>PEPA04</f>
        <v>376.1</v>
      </c>
      <c r="AZ14" s="14"/>
      <c r="BA14" s="508" t="s">
        <v>1413</v>
      </c>
      <c r="BB14" s="1215" t="s">
        <v>152</v>
      </c>
      <c r="BC14" s="509" t="s">
        <v>1302</v>
      </c>
      <c r="BD14" s="817">
        <f t="shared" si="1"/>
        <v>185.82</v>
      </c>
      <c r="BE14" s="819">
        <f>ROUNDDOWN(BE16*0.5,2)</f>
        <v>42.05</v>
      </c>
      <c r="BF14" s="18"/>
      <c r="BG14" s="34"/>
      <c r="BJ14" s="14"/>
      <c r="BL14" s="473">
        <v>52</v>
      </c>
      <c r="BM14" s="1202"/>
      <c r="BN14" s="474" t="s">
        <v>198</v>
      </c>
      <c r="BO14" s="810">
        <f t="shared" si="8"/>
        <v>3209.54</v>
      </c>
      <c r="BP14" s="826">
        <f>VLOOKUP("TV TEC CIENTIFICO 01 40H",RHE,14,FALSE)</f>
        <v>1302.9</v>
      </c>
      <c r="BR14" s="34"/>
      <c r="BS14" s="27"/>
      <c r="BT14" s="38"/>
      <c r="BU14" s="473" t="s">
        <v>1413</v>
      </c>
      <c r="BV14" s="1202"/>
      <c r="BW14" s="474" t="s">
        <v>198</v>
      </c>
      <c r="BX14" s="807">
        <f>S13</f>
        <v>355.25</v>
      </c>
      <c r="BY14" s="30"/>
      <c r="BZ14" s="24"/>
      <c r="CA14" s="88" t="s">
        <v>31</v>
      </c>
      <c r="CB14" s="829">
        <f>PISO_40H</f>
        <v>355.25</v>
      </c>
      <c r="CC14" s="16"/>
      <c r="CE14" s="66" t="s">
        <v>63</v>
      </c>
      <c r="CF14" s="65">
        <f t="shared" si="2"/>
        <v>355.25</v>
      </c>
      <c r="CH14" s="14"/>
      <c r="CI14" s="473" t="s">
        <v>1413</v>
      </c>
      <c r="CJ14" s="1202"/>
      <c r="CK14" s="474" t="s">
        <v>198</v>
      </c>
      <c r="CL14" s="810">
        <f t="shared" si="3"/>
        <v>355.25</v>
      </c>
      <c r="CM14" s="807">
        <f>SUS01</f>
        <v>8.5</v>
      </c>
      <c r="CN14" s="30"/>
      <c r="CO14" s="24"/>
      <c r="CP14" s="88" t="s">
        <v>31</v>
      </c>
      <c r="CQ14" s="829">
        <f>CB14</f>
        <v>355.25</v>
      </c>
      <c r="CR14" s="16"/>
      <c r="CU14" s="14"/>
      <c r="CV14" s="473" t="s">
        <v>1413</v>
      </c>
      <c r="CW14" s="1202"/>
      <c r="CX14" s="474" t="s">
        <v>198</v>
      </c>
      <c r="CY14" s="810">
        <f t="shared" si="4"/>
        <v>355.25</v>
      </c>
      <c r="CZ14" s="807">
        <f>BE13</f>
        <v>84.1</v>
      </c>
      <c r="DA14" s="30"/>
      <c r="DB14" s="24"/>
      <c r="DC14" s="88" t="s">
        <v>31</v>
      </c>
      <c r="DD14" s="829">
        <f>CQ14</f>
        <v>355.25</v>
      </c>
      <c r="DE14" s="16"/>
      <c r="DH14" s="14"/>
      <c r="DJ14" s="449" t="s">
        <v>1413</v>
      </c>
      <c r="DK14" s="462" t="s">
        <v>1098</v>
      </c>
      <c r="DL14" s="482">
        <v>30</v>
      </c>
      <c r="DM14" s="806">
        <f>BX40</f>
        <v>2407.15</v>
      </c>
      <c r="DN14" s="961">
        <f>PARC_TEC_CIEN_30</f>
        <v>0</v>
      </c>
      <c r="DO14" s="491"/>
      <c r="DQ14" s="16"/>
      <c r="DT14" s="14"/>
      <c r="DU14" s="18"/>
      <c r="DV14" s="449" t="s">
        <v>1413</v>
      </c>
      <c r="DW14" s="462" t="s">
        <v>1098</v>
      </c>
      <c r="DX14" s="482">
        <v>30</v>
      </c>
      <c r="DY14" s="809">
        <f t="shared" si="7"/>
        <v>2407.15</v>
      </c>
      <c r="DZ14" s="806">
        <f>BP13</f>
        <v>977.17</v>
      </c>
      <c r="EB14" s="24"/>
      <c r="EC14" s="16"/>
      <c r="EE14" s="66" t="s">
        <v>289</v>
      </c>
      <c r="EF14" s="65">
        <f t="shared" si="9"/>
        <v>0</v>
      </c>
      <c r="EH14" s="349"/>
      <c r="EI14" s="353"/>
      <c r="EJ14" s="131"/>
      <c r="EK14" s="318"/>
      <c r="EL14" s="29"/>
      <c r="EM14" s="352"/>
      <c r="EN14" s="353"/>
      <c r="EO14" s="318"/>
      <c r="EP14" s="61"/>
      <c r="EQ14" s="29"/>
      <c r="ER14" s="350"/>
    </row>
    <row r="15" spans="3:148" ht="12.75">
      <c r="C15" s="768"/>
      <c r="D15" s="284"/>
      <c r="E15" s="82"/>
      <c r="F15" s="77"/>
      <c r="G15" s="87"/>
      <c r="H15" s="87"/>
      <c r="I15" s="795" t="s">
        <v>1062</v>
      </c>
      <c r="J15" s="804">
        <f>X47</f>
        <v>0</v>
      </c>
      <c r="L15" s="66" t="s">
        <v>63</v>
      </c>
      <c r="M15" s="65">
        <f t="shared" si="5"/>
        <v>185.82</v>
      </c>
      <c r="N15" s="44"/>
      <c r="O15" s="14"/>
      <c r="P15" s="449" t="s">
        <v>1414</v>
      </c>
      <c r="Q15" s="1182"/>
      <c r="R15" s="450" t="s">
        <v>1312</v>
      </c>
      <c r="S15" s="806">
        <f>ROUNDDOWN(S16*0.75,2)</f>
        <v>278.73</v>
      </c>
      <c r="T15" s="24"/>
      <c r="U15" s="471">
        <v>53</v>
      </c>
      <c r="V15" s="1181" t="s">
        <v>168</v>
      </c>
      <c r="W15" s="472" t="s">
        <v>1302</v>
      </c>
      <c r="X15" s="812">
        <f>ROUNDDOWN(X17*0.5,2)</f>
        <v>1685</v>
      </c>
      <c r="Y15" s="949">
        <f>ROUNDDOWN(Y17*0.5,2)</f>
        <v>0</v>
      </c>
      <c r="Z15" s="16"/>
      <c r="AA15" s="18"/>
      <c r="AB15" s="66" t="s">
        <v>1433</v>
      </c>
      <c r="AC15" s="65">
        <f t="shared" si="6"/>
        <v>300</v>
      </c>
      <c r="AE15" s="14"/>
      <c r="AF15" s="449" t="s">
        <v>1414</v>
      </c>
      <c r="AG15" s="1182"/>
      <c r="AH15" s="503" t="s">
        <v>1312</v>
      </c>
      <c r="AI15" s="806">
        <f>ROUNDDOWN(AI16*0.75,2)</f>
        <v>300</v>
      </c>
      <c r="AJ15" s="15"/>
      <c r="AK15" s="16"/>
      <c r="AL15" s="25"/>
      <c r="AM15" s="44"/>
      <c r="AO15" s="14"/>
      <c r="AP15" s="449" t="s">
        <v>1414</v>
      </c>
      <c r="AQ15" s="1182"/>
      <c r="AR15" s="503" t="s">
        <v>1312</v>
      </c>
      <c r="AS15" s="809">
        <f t="shared" si="0"/>
        <v>278.73</v>
      </c>
      <c r="AT15" s="806">
        <f>ROUNDDOWN(AT16*0.75,2)</f>
        <v>6.37</v>
      </c>
      <c r="AU15" s="15"/>
      <c r="AV15" s="16"/>
      <c r="AW15" s="44"/>
      <c r="AX15" s="66" t="s">
        <v>864</v>
      </c>
      <c r="AY15" s="65">
        <f>PEPA05</f>
        <v>543.8</v>
      </c>
      <c r="AZ15" s="14"/>
      <c r="BA15" s="449" t="s">
        <v>1414</v>
      </c>
      <c r="BB15" s="1215"/>
      <c r="BC15" s="503" t="s">
        <v>1312</v>
      </c>
      <c r="BD15" s="809">
        <f t="shared" si="1"/>
        <v>278.73</v>
      </c>
      <c r="BE15" s="806">
        <f>ROUNDDOWN(BE16*0.75,2)</f>
        <v>63.07</v>
      </c>
      <c r="BF15" s="18"/>
      <c r="BG15" s="34"/>
      <c r="BJ15" s="14"/>
      <c r="BL15" s="471">
        <v>53</v>
      </c>
      <c r="BM15" s="1181" t="s">
        <v>168</v>
      </c>
      <c r="BN15" s="472" t="s">
        <v>1302</v>
      </c>
      <c r="BO15" s="811">
        <f t="shared" si="8"/>
        <v>1685</v>
      </c>
      <c r="BP15" s="827">
        <f>ROUNDDOWN(BP17*0.5,2)</f>
        <v>651.45</v>
      </c>
      <c r="BR15" s="34"/>
      <c r="BS15" s="27"/>
      <c r="BT15" s="38"/>
      <c r="BU15" s="471" t="s">
        <v>1414</v>
      </c>
      <c r="BV15" s="1181" t="s">
        <v>174</v>
      </c>
      <c r="BW15" s="472" t="s">
        <v>1312</v>
      </c>
      <c r="BX15" s="812">
        <f>S15</f>
        <v>278.73</v>
      </c>
      <c r="BY15" s="30"/>
      <c r="BZ15" s="23"/>
      <c r="CA15" s="29"/>
      <c r="CC15" s="16"/>
      <c r="CE15" s="66" t="s">
        <v>863</v>
      </c>
      <c r="CF15" s="65">
        <f t="shared" si="2"/>
        <v>278.73</v>
      </c>
      <c r="CH15" s="14"/>
      <c r="CI15" s="508" t="s">
        <v>1414</v>
      </c>
      <c r="CJ15" s="1191" t="s">
        <v>174</v>
      </c>
      <c r="CK15" s="505" t="s">
        <v>1312</v>
      </c>
      <c r="CL15" s="817">
        <f t="shared" si="3"/>
        <v>278.73</v>
      </c>
      <c r="CM15" s="819">
        <f>CM12</f>
        <v>6.37</v>
      </c>
      <c r="CN15" s="30"/>
      <c r="CO15" s="23"/>
      <c r="CP15" s="29"/>
      <c r="CQ15" s="831"/>
      <c r="CR15" s="16"/>
      <c r="CU15" s="14"/>
      <c r="CV15" s="508" t="s">
        <v>1414</v>
      </c>
      <c r="CW15" s="1191" t="s">
        <v>174</v>
      </c>
      <c r="CX15" s="505" t="s">
        <v>1312</v>
      </c>
      <c r="CY15" s="817">
        <f t="shared" si="4"/>
        <v>278.73</v>
      </c>
      <c r="CZ15" s="819">
        <f>CZ13</f>
        <v>63.07</v>
      </c>
      <c r="DA15" s="30"/>
      <c r="DB15" s="23"/>
      <c r="DC15" s="29"/>
      <c r="DD15" s="831"/>
      <c r="DE15" s="16"/>
      <c r="DH15" s="14"/>
      <c r="DJ15" s="449" t="s">
        <v>1414</v>
      </c>
      <c r="DK15" s="462" t="s">
        <v>1106</v>
      </c>
      <c r="DL15" s="482">
        <v>30</v>
      </c>
      <c r="DM15" s="806">
        <f>BX40</f>
        <v>2407.15</v>
      </c>
      <c r="DN15" s="961">
        <f>PARC_TEC_CIEN_30</f>
        <v>0</v>
      </c>
      <c r="DO15" s="491"/>
      <c r="DQ15" s="16"/>
      <c r="DT15" s="14"/>
      <c r="DU15" s="18"/>
      <c r="DV15" s="449" t="s">
        <v>1414</v>
      </c>
      <c r="DW15" s="462" t="s">
        <v>1106</v>
      </c>
      <c r="DX15" s="482">
        <v>30</v>
      </c>
      <c r="DY15" s="809">
        <f t="shared" si="7"/>
        <v>2407.15</v>
      </c>
      <c r="DZ15" s="806">
        <f>BP13</f>
        <v>977.17</v>
      </c>
      <c r="EB15" s="24"/>
      <c r="EC15" s="16"/>
      <c r="EE15" s="66" t="s">
        <v>60</v>
      </c>
      <c r="EF15" s="65">
        <f t="shared" si="9"/>
        <v>0</v>
      </c>
      <c r="EH15" s="349"/>
      <c r="EI15" s="353"/>
      <c r="EJ15" s="131"/>
      <c r="EK15" s="318"/>
      <c r="EL15" s="29"/>
      <c r="EM15" s="352"/>
      <c r="EN15" s="353"/>
      <c r="EO15" s="318"/>
      <c r="EP15" s="61"/>
      <c r="EQ15" s="29"/>
      <c r="ER15" s="350"/>
    </row>
    <row r="16" spans="1:148" ht="13.5" thickBot="1">
      <c r="A16" s="787"/>
      <c r="B16" s="767"/>
      <c r="C16" s="768"/>
      <c r="D16" s="284"/>
      <c r="E16" s="82"/>
      <c r="F16" s="77"/>
      <c r="G16" s="87"/>
      <c r="H16" s="87"/>
      <c r="L16" s="66" t="s">
        <v>863</v>
      </c>
      <c r="M16" s="65">
        <f t="shared" si="5"/>
        <v>278.73</v>
      </c>
      <c r="N16" s="44"/>
      <c r="O16" s="14"/>
      <c r="P16" s="1022" t="s">
        <v>1415</v>
      </c>
      <c r="Q16" s="1202"/>
      <c r="R16" s="474" t="s">
        <v>198</v>
      </c>
      <c r="S16" s="1023">
        <f>VLOOKUP("TV GERAL 02 40H",RHE,10,FALSE)</f>
        <v>371.65</v>
      </c>
      <c r="T16" s="24"/>
      <c r="U16" s="449">
        <v>54</v>
      </c>
      <c r="V16" s="1182"/>
      <c r="W16" s="450" t="s">
        <v>1312</v>
      </c>
      <c r="X16" s="806">
        <f>ROUNDDOWN(X17*0.75,2)</f>
        <v>2527.5</v>
      </c>
      <c r="Y16" s="949">
        <f>ROUNDDOWN(Y17*0.75,2)</f>
        <v>0</v>
      </c>
      <c r="Z16" s="16"/>
      <c r="AA16" s="18"/>
      <c r="AB16" s="66" t="s">
        <v>1434</v>
      </c>
      <c r="AC16" s="65">
        <f t="shared" si="6"/>
        <v>400</v>
      </c>
      <c r="AE16" s="14"/>
      <c r="AF16" s="506" t="s">
        <v>1415</v>
      </c>
      <c r="AG16" s="1192"/>
      <c r="AH16" s="507" t="s">
        <v>198</v>
      </c>
      <c r="AI16" s="807">
        <f>VLOOKUP("TV GERAL 02 40H",RHE,18,FALSE)</f>
        <v>400</v>
      </c>
      <c r="AJ16" s="15"/>
      <c r="AK16" s="16"/>
      <c r="AL16" s="25"/>
      <c r="AM16" s="44"/>
      <c r="AO16" s="14"/>
      <c r="AP16" s="506" t="s">
        <v>1415</v>
      </c>
      <c r="AQ16" s="1192"/>
      <c r="AR16" s="507" t="s">
        <v>198</v>
      </c>
      <c r="AS16" s="816">
        <f t="shared" si="0"/>
        <v>371.65</v>
      </c>
      <c r="AT16" s="818">
        <f>VLOOKUP("TV GERAL 02 40H",RHE,12,FALSE)</f>
        <v>8.5</v>
      </c>
      <c r="AU16" s="15"/>
      <c r="AV16" s="16"/>
      <c r="AW16" s="44"/>
      <c r="AX16" s="67" t="s">
        <v>866</v>
      </c>
      <c r="AY16" s="68">
        <f>PEPA06</f>
        <v>1302.9</v>
      </c>
      <c r="AZ16" s="14"/>
      <c r="BA16" s="506" t="s">
        <v>1415</v>
      </c>
      <c r="BB16" s="1215"/>
      <c r="BC16" s="507" t="s">
        <v>198</v>
      </c>
      <c r="BD16" s="816">
        <f t="shared" si="1"/>
        <v>371.65</v>
      </c>
      <c r="BE16" s="818">
        <f>VLOOKUP("TV GERAL 02 40H",RHE,14,FALSE)</f>
        <v>84.1</v>
      </c>
      <c r="BF16" s="18"/>
      <c r="BG16" s="34"/>
      <c r="BJ16" s="14"/>
      <c r="BL16" s="449">
        <v>54</v>
      </c>
      <c r="BM16" s="1182"/>
      <c r="BN16" s="450" t="s">
        <v>1312</v>
      </c>
      <c r="BO16" s="809">
        <f t="shared" si="8"/>
        <v>2527.5</v>
      </c>
      <c r="BP16" s="825">
        <f>ROUNDDOWN(BP17*0.75,2)</f>
        <v>977.17</v>
      </c>
      <c r="BR16" s="34"/>
      <c r="BS16" s="27"/>
      <c r="BT16" s="38"/>
      <c r="BU16" s="473" t="s">
        <v>1415</v>
      </c>
      <c r="BV16" s="1202"/>
      <c r="BW16" s="474" t="s">
        <v>198</v>
      </c>
      <c r="BX16" s="807">
        <f>S16</f>
        <v>371.65</v>
      </c>
      <c r="BY16" s="30"/>
      <c r="BZ16" s="23"/>
      <c r="CA16" s="31"/>
      <c r="CB16" s="31"/>
      <c r="CC16" s="16"/>
      <c r="CE16" s="66" t="s">
        <v>865</v>
      </c>
      <c r="CF16" s="65">
        <f t="shared" si="2"/>
        <v>371.65</v>
      </c>
      <c r="CH16" s="14"/>
      <c r="CI16" s="506" t="s">
        <v>1415</v>
      </c>
      <c r="CJ16" s="1202"/>
      <c r="CK16" s="504" t="s">
        <v>198</v>
      </c>
      <c r="CL16" s="816">
        <f t="shared" si="3"/>
        <v>371.65</v>
      </c>
      <c r="CM16" s="818">
        <f>CM14</f>
        <v>8.5</v>
      </c>
      <c r="CN16" s="30"/>
      <c r="CO16" s="23"/>
      <c r="CP16" s="31"/>
      <c r="CQ16" s="832"/>
      <c r="CR16" s="16"/>
      <c r="CU16" s="14"/>
      <c r="CV16" s="506" t="s">
        <v>1415</v>
      </c>
      <c r="CW16" s="1202"/>
      <c r="CX16" s="504" t="s">
        <v>198</v>
      </c>
      <c r="CY16" s="816">
        <f t="shared" si="4"/>
        <v>371.65</v>
      </c>
      <c r="CZ16" s="818">
        <f>CZ14</f>
        <v>84.1</v>
      </c>
      <c r="DA16" s="30"/>
      <c r="DB16" s="23"/>
      <c r="DC16" s="31"/>
      <c r="DD16" s="832"/>
      <c r="DE16" s="16"/>
      <c r="DH16" s="14"/>
      <c r="DJ16" s="449" t="s">
        <v>1415</v>
      </c>
      <c r="DK16" s="462" t="s">
        <v>1107</v>
      </c>
      <c r="DL16" s="482">
        <v>36</v>
      </c>
      <c r="DM16" s="806">
        <f>BX41</f>
        <v>2888.58</v>
      </c>
      <c r="DN16" s="961">
        <f aca="true" t="shared" si="10" ref="DN16:DN22">PARC_TEC_CIEN_36</f>
        <v>0</v>
      </c>
      <c r="DO16" s="491"/>
      <c r="DQ16" s="16"/>
      <c r="DT16" s="14"/>
      <c r="DU16" s="18"/>
      <c r="DV16" s="449" t="s">
        <v>1415</v>
      </c>
      <c r="DW16" s="462" t="s">
        <v>1107</v>
      </c>
      <c r="DX16" s="482">
        <v>36</v>
      </c>
      <c r="DY16" s="809">
        <f t="shared" si="7"/>
        <v>2888.58</v>
      </c>
      <c r="DZ16" s="806">
        <f aca="true" t="shared" si="11" ref="DZ16:DZ22">ROUNDDOWN(PEPA06/40*36,2)</f>
        <v>1172.61</v>
      </c>
      <c r="EB16" s="24"/>
      <c r="EC16" s="16"/>
      <c r="EE16" s="66" t="s">
        <v>63</v>
      </c>
      <c r="EF16" s="65">
        <f t="shared" si="9"/>
        <v>0</v>
      </c>
      <c r="EH16" s="349"/>
      <c r="EI16" s="353"/>
      <c r="EJ16" s="131"/>
      <c r="EK16" s="318"/>
      <c r="EL16" s="29"/>
      <c r="EM16" s="352"/>
      <c r="EN16" s="353"/>
      <c r="EO16" s="318"/>
      <c r="EP16" s="61"/>
      <c r="EQ16" s="29"/>
      <c r="ER16" s="350"/>
    </row>
    <row r="17" spans="1:148" ht="12.75">
      <c r="A17" s="787"/>
      <c r="B17" s="767"/>
      <c r="C17" s="768"/>
      <c r="D17" s="284"/>
      <c r="E17" s="82"/>
      <c r="F17" s="77"/>
      <c r="G17" s="87"/>
      <c r="H17" s="87"/>
      <c r="L17" s="66" t="s">
        <v>865</v>
      </c>
      <c r="M17" s="65">
        <f t="shared" si="5"/>
        <v>371.65</v>
      </c>
      <c r="N17" s="44"/>
      <c r="O17" s="14"/>
      <c r="P17" s="471" t="s">
        <v>1416</v>
      </c>
      <c r="Q17" s="1178" t="s">
        <v>153</v>
      </c>
      <c r="R17" s="472" t="s">
        <v>1302</v>
      </c>
      <c r="S17" s="806">
        <f>ROUNDDOWN(S19*0.5,2)</f>
        <v>194.53</v>
      </c>
      <c r="T17" s="24"/>
      <c r="U17" s="1022">
        <v>55</v>
      </c>
      <c r="V17" s="1202"/>
      <c r="W17" s="474" t="s">
        <v>198</v>
      </c>
      <c r="X17" s="1023">
        <f>VLOOKUP("TV TEC CIENTIFICO 02 40H",RHE,10,FALSE)</f>
        <v>3370.01</v>
      </c>
      <c r="Y17" s="949">
        <f>VLOOKUP("TV TEC CIENTIFICO 02 40H",RHE,12,FALSE)</f>
        <v>0</v>
      </c>
      <c r="Z17" s="16"/>
      <c r="AA17" s="18"/>
      <c r="AB17" s="66" t="s">
        <v>1435</v>
      </c>
      <c r="AC17" s="65">
        <f t="shared" si="6"/>
        <v>195</v>
      </c>
      <c r="AE17" s="14"/>
      <c r="AF17" s="508" t="s">
        <v>1416</v>
      </c>
      <c r="AG17" s="1178" t="s">
        <v>153</v>
      </c>
      <c r="AH17" s="509" t="s">
        <v>1302</v>
      </c>
      <c r="AI17" s="819">
        <f>ROUNDDOWN(AI19*0.5,2)</f>
        <v>195</v>
      </c>
      <c r="AJ17" s="15"/>
      <c r="AK17" s="16"/>
      <c r="AL17" s="25"/>
      <c r="AO17" s="14"/>
      <c r="AP17" s="508" t="s">
        <v>1416</v>
      </c>
      <c r="AQ17" s="1178" t="s">
        <v>153</v>
      </c>
      <c r="AR17" s="509" t="s">
        <v>1302</v>
      </c>
      <c r="AS17" s="817">
        <f t="shared" si="0"/>
        <v>194.53</v>
      </c>
      <c r="AT17" s="819">
        <f>ROUNDDOWN(AT19*0.5,2)</f>
        <v>4.25</v>
      </c>
      <c r="AU17" s="15"/>
      <c r="AV17" s="16"/>
      <c r="AW17" s="44"/>
      <c r="AX17" s="25"/>
      <c r="AZ17" s="14"/>
      <c r="BA17" s="508" t="s">
        <v>1416</v>
      </c>
      <c r="BB17" s="1178" t="s">
        <v>153</v>
      </c>
      <c r="BC17" s="509" t="s">
        <v>1302</v>
      </c>
      <c r="BD17" s="817">
        <f t="shared" si="1"/>
        <v>194.53</v>
      </c>
      <c r="BE17" s="819">
        <f>ROUNDDOWN(BE19*0.5,2)</f>
        <v>42.05</v>
      </c>
      <c r="BF17" s="18"/>
      <c r="BG17" s="34"/>
      <c r="BJ17" s="14"/>
      <c r="BL17" s="473">
        <v>55</v>
      </c>
      <c r="BM17" s="1202"/>
      <c r="BN17" s="474" t="s">
        <v>198</v>
      </c>
      <c r="BO17" s="810">
        <f t="shared" si="8"/>
        <v>3370.01</v>
      </c>
      <c r="BP17" s="826">
        <f>VLOOKUP("TV TEC CIENTIFICO 02 40H",RHE,14,FALSE)</f>
        <v>1302.9</v>
      </c>
      <c r="BR17" s="34"/>
      <c r="BS17" s="27"/>
      <c r="BT17" s="38"/>
      <c r="BU17" s="471" t="s">
        <v>1416</v>
      </c>
      <c r="BV17" s="1181" t="s">
        <v>175</v>
      </c>
      <c r="BW17" s="472" t="s">
        <v>1312</v>
      </c>
      <c r="BX17" s="812">
        <f>S18</f>
        <v>291.8</v>
      </c>
      <c r="BY17" s="30"/>
      <c r="BZ17" s="24"/>
      <c r="CA17" s="88" t="s">
        <v>32</v>
      </c>
      <c r="CB17" s="829">
        <f>SAL_MIN</f>
        <v>724</v>
      </c>
      <c r="CC17" s="16" t="s">
        <v>1079</v>
      </c>
      <c r="CE17" s="66" t="s">
        <v>867</v>
      </c>
      <c r="CF17" s="65">
        <f t="shared" si="2"/>
        <v>291.8</v>
      </c>
      <c r="CH17" s="14"/>
      <c r="CI17" s="508" t="s">
        <v>1416</v>
      </c>
      <c r="CJ17" s="1191" t="s">
        <v>175</v>
      </c>
      <c r="CK17" s="505" t="s">
        <v>1312</v>
      </c>
      <c r="CL17" s="817">
        <f t="shared" si="3"/>
        <v>291.8</v>
      </c>
      <c r="CM17" s="819">
        <f>CM12</f>
        <v>6.37</v>
      </c>
      <c r="CN17" s="30"/>
      <c r="CO17" s="24"/>
      <c r="CP17" s="88" t="s">
        <v>32</v>
      </c>
      <c r="CQ17" s="829">
        <f>CB17</f>
        <v>724</v>
      </c>
      <c r="CR17" s="16" t="s">
        <v>277</v>
      </c>
      <c r="CU17" s="14"/>
      <c r="CV17" s="508" t="s">
        <v>1416</v>
      </c>
      <c r="CW17" s="1191" t="s">
        <v>175</v>
      </c>
      <c r="CX17" s="505" t="s">
        <v>1312</v>
      </c>
      <c r="CY17" s="817">
        <f t="shared" si="4"/>
        <v>291.8</v>
      </c>
      <c r="CZ17" s="819">
        <f>CZ13</f>
        <v>63.07</v>
      </c>
      <c r="DA17" s="30"/>
      <c r="DB17" s="24"/>
      <c r="DC17" s="88" t="s">
        <v>32</v>
      </c>
      <c r="DD17" s="829">
        <f>CQ17</f>
        <v>724</v>
      </c>
      <c r="DE17" s="16"/>
      <c r="DH17" s="14"/>
      <c r="DJ17" s="449" t="s">
        <v>1416</v>
      </c>
      <c r="DK17" s="462" t="s">
        <v>1103</v>
      </c>
      <c r="DL17" s="482">
        <v>36</v>
      </c>
      <c r="DM17" s="806">
        <f>BX41</f>
        <v>2888.58</v>
      </c>
      <c r="DN17" s="961">
        <f t="shared" si="10"/>
        <v>0</v>
      </c>
      <c r="DO17" s="491"/>
      <c r="DQ17" s="16"/>
      <c r="DT17" s="14"/>
      <c r="DU17" s="18"/>
      <c r="DV17" s="449" t="s">
        <v>1416</v>
      </c>
      <c r="DW17" s="462" t="s">
        <v>1103</v>
      </c>
      <c r="DX17" s="482">
        <v>36</v>
      </c>
      <c r="DY17" s="809">
        <f t="shared" si="7"/>
        <v>2888.58</v>
      </c>
      <c r="DZ17" s="806">
        <f t="shared" si="11"/>
        <v>1172.61</v>
      </c>
      <c r="EB17" s="24"/>
      <c r="EC17" s="16"/>
      <c r="EE17" s="66" t="s">
        <v>863</v>
      </c>
      <c r="EF17" s="65">
        <f t="shared" si="9"/>
        <v>0</v>
      </c>
      <c r="EH17" s="349"/>
      <c r="EI17" s="353"/>
      <c r="EJ17" s="131"/>
      <c r="EK17" s="318"/>
      <c r="EL17" s="29"/>
      <c r="EM17" s="352"/>
      <c r="EN17" s="353"/>
      <c r="EO17" s="318"/>
      <c r="EP17" s="61"/>
      <c r="EQ17" s="29"/>
      <c r="ER17" s="350"/>
    </row>
    <row r="18" spans="1:148" ht="12.75" customHeight="1">
      <c r="A18" s="763"/>
      <c r="B18" s="763"/>
      <c r="C18" s="763"/>
      <c r="D18" s="284"/>
      <c r="E18" s="82"/>
      <c r="F18" s="77"/>
      <c r="G18" s="87"/>
      <c r="H18" s="87"/>
      <c r="L18" s="66" t="s">
        <v>867</v>
      </c>
      <c r="M18" s="65">
        <f t="shared" si="5"/>
        <v>194.53</v>
      </c>
      <c r="N18" s="44"/>
      <c r="O18" s="14"/>
      <c r="P18" s="449" t="s">
        <v>1417</v>
      </c>
      <c r="Q18" s="1179"/>
      <c r="R18" s="450" t="s">
        <v>1312</v>
      </c>
      <c r="S18" s="806">
        <f>ROUNDDOWN(S19*0.75,2)</f>
        <v>291.8</v>
      </c>
      <c r="T18" s="24"/>
      <c r="U18" s="471">
        <v>56</v>
      </c>
      <c r="V18" s="1178" t="s">
        <v>169</v>
      </c>
      <c r="W18" s="472" t="s">
        <v>1302</v>
      </c>
      <c r="X18" s="812">
        <f>ROUNDDOWN(X20*0.5,2)</f>
        <v>1769.25</v>
      </c>
      <c r="Y18" s="949">
        <f>ROUNDDOWN(Y20*0.5,2)</f>
        <v>0</v>
      </c>
      <c r="Z18" s="16"/>
      <c r="AA18" s="18"/>
      <c r="AB18" s="66" t="s">
        <v>1436</v>
      </c>
      <c r="AC18" s="65">
        <f t="shared" si="6"/>
        <v>292.5</v>
      </c>
      <c r="AE18" s="14"/>
      <c r="AF18" s="449" t="s">
        <v>1417</v>
      </c>
      <c r="AG18" s="1179"/>
      <c r="AH18" s="503" t="s">
        <v>1312</v>
      </c>
      <c r="AI18" s="806">
        <f>ROUNDDOWN(AI19*0.75,2)</f>
        <v>292.5</v>
      </c>
      <c r="AJ18" s="15"/>
      <c r="AK18" s="16"/>
      <c r="AL18" s="25"/>
      <c r="AO18" s="14"/>
      <c r="AP18" s="449" t="s">
        <v>1417</v>
      </c>
      <c r="AQ18" s="1179"/>
      <c r="AR18" s="503" t="s">
        <v>1312</v>
      </c>
      <c r="AS18" s="809">
        <f t="shared" si="0"/>
        <v>291.8</v>
      </c>
      <c r="AT18" s="806">
        <f>ROUNDDOWN(AT19*0.75,2)</f>
        <v>6.37</v>
      </c>
      <c r="AU18" s="15"/>
      <c r="AV18" s="16"/>
      <c r="AW18" s="44"/>
      <c r="AX18" s="25"/>
      <c r="AZ18" s="14"/>
      <c r="BA18" s="449" t="s">
        <v>1417</v>
      </c>
      <c r="BB18" s="1179"/>
      <c r="BC18" s="503" t="s">
        <v>1312</v>
      </c>
      <c r="BD18" s="809">
        <f t="shared" si="1"/>
        <v>291.8</v>
      </c>
      <c r="BE18" s="806">
        <f>ROUNDDOWN(BE19*0.75,2)</f>
        <v>63.07</v>
      </c>
      <c r="BF18" s="18"/>
      <c r="BG18" s="34"/>
      <c r="BJ18" s="14"/>
      <c r="BL18" s="471">
        <v>56</v>
      </c>
      <c r="BM18" s="1178" t="s">
        <v>169</v>
      </c>
      <c r="BN18" s="472" t="s">
        <v>1302</v>
      </c>
      <c r="BO18" s="811">
        <f t="shared" si="8"/>
        <v>1769.25</v>
      </c>
      <c r="BP18" s="827">
        <f>ROUNDDOWN(BP20*0.5,2)</f>
        <v>651.45</v>
      </c>
      <c r="BR18" s="34"/>
      <c r="BS18" s="27"/>
      <c r="BT18" s="38"/>
      <c r="BU18" s="473" t="s">
        <v>1417</v>
      </c>
      <c r="BV18" s="1202"/>
      <c r="BW18" s="474" t="s">
        <v>198</v>
      </c>
      <c r="BX18" s="807">
        <f>S19</f>
        <v>389.07</v>
      </c>
      <c r="BY18" s="30"/>
      <c r="BZ18" s="23"/>
      <c r="CA18" s="29"/>
      <c r="CC18" s="16"/>
      <c r="CE18" s="66" t="s">
        <v>868</v>
      </c>
      <c r="CF18" s="65">
        <f t="shared" si="2"/>
        <v>389.07</v>
      </c>
      <c r="CH18" s="14"/>
      <c r="CI18" s="506" t="s">
        <v>1417</v>
      </c>
      <c r="CJ18" s="1202"/>
      <c r="CK18" s="504" t="s">
        <v>198</v>
      </c>
      <c r="CL18" s="816">
        <f t="shared" si="3"/>
        <v>389.07</v>
      </c>
      <c r="CM18" s="818">
        <f>CM14</f>
        <v>8.5</v>
      </c>
      <c r="CN18" s="30"/>
      <c r="CO18" s="23"/>
      <c r="CP18" s="29"/>
      <c r="CQ18" s="831"/>
      <c r="CR18" s="16"/>
      <c r="CU18" s="14"/>
      <c r="CV18" s="506" t="s">
        <v>1417</v>
      </c>
      <c r="CW18" s="1202"/>
      <c r="CX18" s="504" t="s">
        <v>198</v>
      </c>
      <c r="CY18" s="816">
        <f t="shared" si="4"/>
        <v>389.07</v>
      </c>
      <c r="CZ18" s="818">
        <f>CZ14</f>
        <v>84.1</v>
      </c>
      <c r="DA18" s="30"/>
      <c r="DB18" s="23"/>
      <c r="DC18" s="29"/>
      <c r="DD18" s="831"/>
      <c r="DE18" s="16" t="s">
        <v>1079</v>
      </c>
      <c r="DH18" s="14"/>
      <c r="DJ18" s="449" t="s">
        <v>1417</v>
      </c>
      <c r="DK18" s="462" t="s">
        <v>1102</v>
      </c>
      <c r="DL18" s="482">
        <v>36</v>
      </c>
      <c r="DM18" s="806">
        <f>BX41</f>
        <v>2888.58</v>
      </c>
      <c r="DN18" s="961">
        <f t="shared" si="10"/>
        <v>0</v>
      </c>
      <c r="DO18" s="491"/>
      <c r="DQ18" s="16"/>
      <c r="DT18" s="14"/>
      <c r="DU18" s="18"/>
      <c r="DV18" s="449" t="s">
        <v>1417</v>
      </c>
      <c r="DW18" s="462" t="s">
        <v>1102</v>
      </c>
      <c r="DX18" s="482">
        <v>36</v>
      </c>
      <c r="DY18" s="809">
        <f t="shared" si="7"/>
        <v>2888.58</v>
      </c>
      <c r="DZ18" s="806">
        <f t="shared" si="11"/>
        <v>1172.61</v>
      </c>
      <c r="EB18" s="24"/>
      <c r="EC18" s="16"/>
      <c r="EE18" s="66" t="s">
        <v>865</v>
      </c>
      <c r="EF18" s="65">
        <f t="shared" si="9"/>
        <v>0</v>
      </c>
      <c r="EH18" s="349"/>
      <c r="EI18" s="353"/>
      <c r="EJ18" s="131"/>
      <c r="EK18" s="318"/>
      <c r="EL18" s="29"/>
      <c r="EM18" s="352"/>
      <c r="EN18" s="353"/>
      <c r="EO18" s="318"/>
      <c r="EP18" s="61"/>
      <c r="EQ18" s="29"/>
      <c r="ER18" s="350"/>
    </row>
    <row r="19" spans="1:148" ht="12.75" customHeight="1">
      <c r="A19" s="798"/>
      <c r="B19" s="798"/>
      <c r="C19" s="798"/>
      <c r="D19" s="284"/>
      <c r="E19" s="82"/>
      <c r="F19" s="77"/>
      <c r="G19" s="87"/>
      <c r="H19" s="87"/>
      <c r="I19" s="87"/>
      <c r="J19" s="87"/>
      <c r="L19" s="66" t="s">
        <v>868</v>
      </c>
      <c r="M19" s="65">
        <f>S18</f>
        <v>291.8</v>
      </c>
      <c r="N19" s="44"/>
      <c r="O19" s="14"/>
      <c r="P19" s="1024">
        <v>10</v>
      </c>
      <c r="Q19" s="1180"/>
      <c r="R19" s="474" t="s">
        <v>198</v>
      </c>
      <c r="S19" s="1023">
        <f>VLOOKUP("TV GERAL 03 40H",RHE,10,FALSE)</f>
        <v>389.07</v>
      </c>
      <c r="T19" s="24"/>
      <c r="U19" s="449">
        <v>57</v>
      </c>
      <c r="V19" s="1179"/>
      <c r="W19" s="450" t="s">
        <v>1312</v>
      </c>
      <c r="X19" s="806">
        <f>ROUNDDOWN(X20*0.75,2)</f>
        <v>2653.88</v>
      </c>
      <c r="Y19" s="949">
        <f>ROUNDDOWN(Y20*0.75,2)</f>
        <v>0</v>
      </c>
      <c r="Z19" s="16"/>
      <c r="AA19" s="18"/>
      <c r="AB19" s="66" t="s">
        <v>1437</v>
      </c>
      <c r="AC19" s="65">
        <f t="shared" si="6"/>
        <v>390</v>
      </c>
      <c r="AE19" s="14"/>
      <c r="AF19" s="483">
        <v>10</v>
      </c>
      <c r="AG19" s="1180"/>
      <c r="AH19" s="507" t="s">
        <v>198</v>
      </c>
      <c r="AI19" s="807">
        <f>VLOOKUP("TV GERAL 03 40H",RHE,18,FALSE)</f>
        <v>390</v>
      </c>
      <c r="AJ19" s="15"/>
      <c r="AK19" s="16"/>
      <c r="AL19" s="25"/>
      <c r="AO19" s="14"/>
      <c r="AP19" s="483">
        <v>10</v>
      </c>
      <c r="AQ19" s="1180"/>
      <c r="AR19" s="507" t="s">
        <v>198</v>
      </c>
      <c r="AS19" s="816">
        <f t="shared" si="0"/>
        <v>389.07</v>
      </c>
      <c r="AT19" s="818">
        <f>VLOOKUP("TV GERAL 03 40H",RHE,12,FALSE)</f>
        <v>8.5</v>
      </c>
      <c r="AU19" s="15"/>
      <c r="AV19" s="16"/>
      <c r="AW19" s="44"/>
      <c r="AX19" s="25"/>
      <c r="AZ19" s="14"/>
      <c r="BA19" s="483">
        <v>10</v>
      </c>
      <c r="BB19" s="1180"/>
      <c r="BC19" s="507" t="s">
        <v>198</v>
      </c>
      <c r="BD19" s="816">
        <f t="shared" si="1"/>
        <v>389.07</v>
      </c>
      <c r="BE19" s="818">
        <f>VLOOKUP("TV GERAL 03 40H",RHE,14,FALSE)</f>
        <v>84.1</v>
      </c>
      <c r="BF19" s="18"/>
      <c r="BG19" s="34"/>
      <c r="BJ19" s="14"/>
      <c r="BL19" s="449">
        <v>57</v>
      </c>
      <c r="BM19" s="1179"/>
      <c r="BN19" s="450" t="s">
        <v>1312</v>
      </c>
      <c r="BO19" s="809">
        <f t="shared" si="8"/>
        <v>2653.88</v>
      </c>
      <c r="BP19" s="825">
        <f>ROUNDDOWN(BP20*0.75,2)</f>
        <v>977.17</v>
      </c>
      <c r="BR19" s="34"/>
      <c r="BS19" s="27"/>
      <c r="BT19" s="38"/>
      <c r="BU19" s="475">
        <v>10</v>
      </c>
      <c r="BV19" s="1181" t="s">
        <v>176</v>
      </c>
      <c r="BW19" s="472" t="s">
        <v>1312</v>
      </c>
      <c r="BX19" s="812">
        <f>S21</f>
        <v>305.92</v>
      </c>
      <c r="BY19" s="30"/>
      <c r="BZ19" s="23"/>
      <c r="CA19" s="31"/>
      <c r="CB19" s="31"/>
      <c r="CC19" s="16"/>
      <c r="CE19" s="66" t="s">
        <v>869</v>
      </c>
      <c r="CF19" s="65">
        <f t="shared" si="2"/>
        <v>305.92</v>
      </c>
      <c r="CH19" s="14"/>
      <c r="CI19" s="488">
        <v>10</v>
      </c>
      <c r="CJ19" s="1191" t="s">
        <v>176</v>
      </c>
      <c r="CK19" s="505" t="s">
        <v>1312</v>
      </c>
      <c r="CL19" s="817">
        <f t="shared" si="3"/>
        <v>305.92</v>
      </c>
      <c r="CM19" s="819">
        <f>CM12</f>
        <v>6.37</v>
      </c>
      <c r="CN19" s="30"/>
      <c r="CO19" s="23"/>
      <c r="CP19" s="31"/>
      <c r="CQ19" s="832"/>
      <c r="CR19" s="16"/>
      <c r="CU19" s="14"/>
      <c r="CV19" s="488">
        <v>10</v>
      </c>
      <c r="CW19" s="1191" t="s">
        <v>176</v>
      </c>
      <c r="CX19" s="505" t="s">
        <v>1312</v>
      </c>
      <c r="CY19" s="817">
        <f t="shared" si="4"/>
        <v>305.92</v>
      </c>
      <c r="CZ19" s="819">
        <f>CZ12</f>
        <v>63.07</v>
      </c>
      <c r="DA19" s="30"/>
      <c r="DB19" s="23"/>
      <c r="DC19" s="31"/>
      <c r="DD19" s="832"/>
      <c r="DE19" s="16"/>
      <c r="DH19" s="14"/>
      <c r="DJ19" s="452">
        <v>10</v>
      </c>
      <c r="DK19" s="462" t="s">
        <v>1101</v>
      </c>
      <c r="DL19" s="482">
        <v>36</v>
      </c>
      <c r="DM19" s="806">
        <f>BX41</f>
        <v>2888.58</v>
      </c>
      <c r="DN19" s="961">
        <f t="shared" si="10"/>
        <v>0</v>
      </c>
      <c r="DO19" s="491"/>
      <c r="DQ19" s="16"/>
      <c r="DT19" s="14"/>
      <c r="DU19" s="18"/>
      <c r="DV19" s="452">
        <v>10</v>
      </c>
      <c r="DW19" s="462" t="s">
        <v>1101</v>
      </c>
      <c r="DX19" s="482">
        <v>36</v>
      </c>
      <c r="DY19" s="809">
        <f t="shared" si="7"/>
        <v>2888.58</v>
      </c>
      <c r="DZ19" s="806">
        <f t="shared" si="11"/>
        <v>1172.61</v>
      </c>
      <c r="EB19" s="24"/>
      <c r="EC19" s="16"/>
      <c r="EE19" s="66" t="s">
        <v>867</v>
      </c>
      <c r="EF19" s="65">
        <f t="shared" si="9"/>
        <v>0</v>
      </c>
      <c r="EH19" s="349"/>
      <c r="EI19" s="353"/>
      <c r="EJ19" s="131"/>
      <c r="EK19" s="318"/>
      <c r="EL19" s="29"/>
      <c r="EM19" s="352"/>
      <c r="EN19" s="353"/>
      <c r="EO19" s="318"/>
      <c r="EP19" s="61"/>
      <c r="EQ19" s="29"/>
      <c r="ER19" s="350"/>
    </row>
    <row r="20" spans="1:148" ht="12.75">
      <c r="A20" s="787"/>
      <c r="B20" s="767"/>
      <c r="C20" s="768"/>
      <c r="D20" s="284"/>
      <c r="E20" s="82"/>
      <c r="F20" s="77"/>
      <c r="G20" s="87"/>
      <c r="H20" s="87"/>
      <c r="I20" s="87"/>
      <c r="J20" s="87"/>
      <c r="L20" s="66" t="s">
        <v>869</v>
      </c>
      <c r="M20" s="65">
        <f t="shared" si="5"/>
        <v>389.07</v>
      </c>
      <c r="N20" s="44"/>
      <c r="O20" s="14"/>
      <c r="P20" s="475">
        <v>11</v>
      </c>
      <c r="Q20" s="1181" t="s">
        <v>154</v>
      </c>
      <c r="R20" s="472" t="s">
        <v>1302</v>
      </c>
      <c r="S20" s="806">
        <f>ROUNDDOWN(S22*0.5,2)</f>
        <v>203.95</v>
      </c>
      <c r="T20" s="24"/>
      <c r="U20" s="1022">
        <v>58</v>
      </c>
      <c r="V20" s="1180"/>
      <c r="W20" s="474" t="s">
        <v>198</v>
      </c>
      <c r="X20" s="1023">
        <f>VLOOKUP("TV TEC CIENTIFICO 03 40H",RHE,10,FALSE)</f>
        <v>3538.51</v>
      </c>
      <c r="Y20" s="949">
        <f>VLOOKUP("TV TEC CIENTIFICO 03 40H",RHE,12,FALSE)</f>
        <v>0</v>
      </c>
      <c r="Z20" s="16"/>
      <c r="AA20" s="18"/>
      <c r="AB20" s="66" t="s">
        <v>1438</v>
      </c>
      <c r="AC20" s="65">
        <f t="shared" si="6"/>
        <v>190</v>
      </c>
      <c r="AE20" s="14"/>
      <c r="AF20" s="488">
        <v>11</v>
      </c>
      <c r="AG20" s="1191" t="s">
        <v>154</v>
      </c>
      <c r="AH20" s="509" t="s">
        <v>1302</v>
      </c>
      <c r="AI20" s="819">
        <f>ROUNDDOWN(AI22*0.5,2)</f>
        <v>190</v>
      </c>
      <c r="AJ20" s="15"/>
      <c r="AK20" s="16"/>
      <c r="AL20" s="25"/>
      <c r="AO20" s="14"/>
      <c r="AP20" s="488">
        <v>11</v>
      </c>
      <c r="AQ20" s="1191" t="s">
        <v>154</v>
      </c>
      <c r="AR20" s="509" t="s">
        <v>1302</v>
      </c>
      <c r="AS20" s="817">
        <f t="shared" si="0"/>
        <v>203.95</v>
      </c>
      <c r="AT20" s="819">
        <f>ROUNDDOWN(AT22*0.5,2)</f>
        <v>4.25</v>
      </c>
      <c r="AU20" s="15"/>
      <c r="AV20" s="16"/>
      <c r="AW20" s="44"/>
      <c r="AX20" s="25"/>
      <c r="AZ20" s="14"/>
      <c r="BA20" s="488">
        <v>11</v>
      </c>
      <c r="BB20" s="1215" t="s">
        <v>154</v>
      </c>
      <c r="BC20" s="509" t="s">
        <v>1302</v>
      </c>
      <c r="BD20" s="817">
        <f t="shared" si="1"/>
        <v>203.95</v>
      </c>
      <c r="BE20" s="819">
        <f>ROUNDDOWN(BE22*0.5,2)</f>
        <v>42.05</v>
      </c>
      <c r="BF20" s="18"/>
      <c r="BG20" s="34"/>
      <c r="BJ20" s="14"/>
      <c r="BL20" s="473">
        <v>58</v>
      </c>
      <c r="BM20" s="1180"/>
      <c r="BN20" s="474" t="s">
        <v>198</v>
      </c>
      <c r="BO20" s="810">
        <f t="shared" si="8"/>
        <v>3538.51</v>
      </c>
      <c r="BP20" s="826">
        <f>VLOOKUP("TV TEC CIENTIFICO 03 40H",RHE,14,FALSE)</f>
        <v>1302.9</v>
      </c>
      <c r="BR20" s="34"/>
      <c r="BS20" s="27"/>
      <c r="BT20" s="38"/>
      <c r="BU20" s="477">
        <v>11</v>
      </c>
      <c r="BV20" s="1202"/>
      <c r="BW20" s="474" t="s">
        <v>198</v>
      </c>
      <c r="BX20" s="807">
        <f>S22</f>
        <v>407.9</v>
      </c>
      <c r="BY20" s="30"/>
      <c r="BZ20" s="24"/>
      <c r="CA20" s="88" t="s">
        <v>33</v>
      </c>
      <c r="CB20" s="829">
        <f>SAL_HORA</f>
        <v>0.69</v>
      </c>
      <c r="CC20" s="16" t="s">
        <v>1079</v>
      </c>
      <c r="CE20" s="66" t="s">
        <v>708</v>
      </c>
      <c r="CF20" s="65">
        <f t="shared" si="2"/>
        <v>407.9</v>
      </c>
      <c r="CH20" s="14"/>
      <c r="CI20" s="483">
        <v>11</v>
      </c>
      <c r="CJ20" s="1202"/>
      <c r="CK20" s="504" t="s">
        <v>198</v>
      </c>
      <c r="CL20" s="816">
        <f t="shared" si="3"/>
        <v>407.9</v>
      </c>
      <c r="CM20" s="818">
        <f>CM14</f>
        <v>8.5</v>
      </c>
      <c r="CN20" s="30"/>
      <c r="CO20" s="24"/>
      <c r="CP20" s="88" t="s">
        <v>33</v>
      </c>
      <c r="CQ20" s="829">
        <f>CB20</f>
        <v>0.69</v>
      </c>
      <c r="CR20" s="16" t="s">
        <v>1079</v>
      </c>
      <c r="CU20" s="14"/>
      <c r="CV20" s="483">
        <v>11</v>
      </c>
      <c r="CW20" s="1202"/>
      <c r="CX20" s="504" t="s">
        <v>198</v>
      </c>
      <c r="CY20" s="816">
        <f t="shared" si="4"/>
        <v>407.9</v>
      </c>
      <c r="CZ20" s="818">
        <f>CZ14</f>
        <v>84.1</v>
      </c>
      <c r="DA20" s="30"/>
      <c r="DB20" s="24"/>
      <c r="DC20" s="88" t="s">
        <v>33</v>
      </c>
      <c r="DD20" s="829">
        <f>CQ20</f>
        <v>0.69</v>
      </c>
      <c r="DE20" s="16"/>
      <c r="DH20" s="14"/>
      <c r="DJ20" s="452">
        <v>11</v>
      </c>
      <c r="DK20" s="462" t="s">
        <v>1100</v>
      </c>
      <c r="DL20" s="482">
        <v>36</v>
      </c>
      <c r="DM20" s="806">
        <f>BX41</f>
        <v>2888.58</v>
      </c>
      <c r="DN20" s="961">
        <f t="shared" si="10"/>
        <v>0</v>
      </c>
      <c r="DO20" s="491"/>
      <c r="DQ20" s="16"/>
      <c r="DT20" s="14"/>
      <c r="DU20" s="18"/>
      <c r="DV20" s="452">
        <v>11</v>
      </c>
      <c r="DW20" s="462" t="s">
        <v>1100</v>
      </c>
      <c r="DX20" s="482">
        <v>36</v>
      </c>
      <c r="DY20" s="809">
        <f t="shared" si="7"/>
        <v>2888.58</v>
      </c>
      <c r="DZ20" s="806">
        <f t="shared" si="11"/>
        <v>1172.61</v>
      </c>
      <c r="EB20" s="24"/>
      <c r="EC20" s="16"/>
      <c r="EE20" s="66" t="s">
        <v>868</v>
      </c>
      <c r="EF20" s="65">
        <f t="shared" si="9"/>
        <v>0</v>
      </c>
      <c r="EH20" s="349"/>
      <c r="EI20" s="353"/>
      <c r="EJ20" s="131"/>
      <c r="EK20" s="318"/>
      <c r="EL20" s="29"/>
      <c r="EM20" s="352"/>
      <c r="EN20" s="353"/>
      <c r="EO20" s="318"/>
      <c r="EP20" s="61"/>
      <c r="EQ20" s="29"/>
      <c r="ER20" s="350"/>
    </row>
    <row r="21" spans="4:148" ht="13.5" customHeight="1">
      <c r="D21" s="284"/>
      <c r="E21" s="82"/>
      <c r="F21" s="77"/>
      <c r="G21" s="87"/>
      <c r="H21" s="87"/>
      <c r="I21" s="87"/>
      <c r="J21" s="87"/>
      <c r="L21" s="66" t="s">
        <v>708</v>
      </c>
      <c r="M21" s="65">
        <f t="shared" si="5"/>
        <v>203.95</v>
      </c>
      <c r="N21" s="44"/>
      <c r="O21" s="14"/>
      <c r="P21" s="452">
        <v>12</v>
      </c>
      <c r="Q21" s="1182"/>
      <c r="R21" s="450" t="s">
        <v>1312</v>
      </c>
      <c r="S21" s="806">
        <f>ROUNDDOWN(S22*0.75,2)</f>
        <v>305.92</v>
      </c>
      <c r="T21" s="24"/>
      <c r="U21" s="475">
        <v>59</v>
      </c>
      <c r="V21" s="1181" t="s">
        <v>170</v>
      </c>
      <c r="W21" s="472" t="s">
        <v>1302</v>
      </c>
      <c r="X21" s="812">
        <f>ROUNDDOWN(X23*0.5,2)</f>
        <v>1857.71</v>
      </c>
      <c r="Y21" s="949">
        <f>ROUNDDOWN(Y23*0.5,2)</f>
        <v>0</v>
      </c>
      <c r="Z21" s="16"/>
      <c r="AA21" s="18"/>
      <c r="AB21" s="66" t="s">
        <v>1439</v>
      </c>
      <c r="AC21" s="65">
        <f t="shared" si="6"/>
        <v>285</v>
      </c>
      <c r="AE21" s="14"/>
      <c r="AF21" s="452">
        <v>12</v>
      </c>
      <c r="AG21" s="1182"/>
      <c r="AH21" s="503" t="s">
        <v>1312</v>
      </c>
      <c r="AI21" s="806">
        <f>ROUNDDOWN(AI22*0.75,2)</f>
        <v>285</v>
      </c>
      <c r="AJ21" s="15"/>
      <c r="AK21" s="16"/>
      <c r="AL21" s="25"/>
      <c r="AO21" s="14"/>
      <c r="AP21" s="452">
        <v>12</v>
      </c>
      <c r="AQ21" s="1182"/>
      <c r="AR21" s="503" t="s">
        <v>1312</v>
      </c>
      <c r="AS21" s="809">
        <f t="shared" si="0"/>
        <v>305.92</v>
      </c>
      <c r="AT21" s="806">
        <f>ROUNDDOWN(AT22*0.75,2)</f>
        <v>6.37</v>
      </c>
      <c r="AU21" s="15"/>
      <c r="AV21" s="16"/>
      <c r="AW21" s="44"/>
      <c r="AX21" s="25"/>
      <c r="AZ21" s="14"/>
      <c r="BA21" s="452">
        <v>12</v>
      </c>
      <c r="BB21" s="1215"/>
      <c r="BC21" s="503" t="s">
        <v>1312</v>
      </c>
      <c r="BD21" s="809">
        <f t="shared" si="1"/>
        <v>305.92</v>
      </c>
      <c r="BE21" s="806">
        <f>ROUNDDOWN(BE22*0.75,2)</f>
        <v>63.07</v>
      </c>
      <c r="BF21" s="18"/>
      <c r="BG21" s="34"/>
      <c r="BJ21" s="14"/>
      <c r="BL21" s="475">
        <v>59</v>
      </c>
      <c r="BM21" s="1181" t="s">
        <v>170</v>
      </c>
      <c r="BN21" s="472" t="s">
        <v>1302</v>
      </c>
      <c r="BO21" s="811">
        <f t="shared" si="8"/>
        <v>1857.71</v>
      </c>
      <c r="BP21" s="827">
        <f>ROUNDDOWN(BP23*0.5,2)</f>
        <v>651.45</v>
      </c>
      <c r="BR21" s="34"/>
      <c r="BS21" s="27"/>
      <c r="BT21" s="38"/>
      <c r="BU21" s="475">
        <v>12</v>
      </c>
      <c r="BV21" s="1181" t="s">
        <v>177</v>
      </c>
      <c r="BW21" s="472" t="s">
        <v>1312</v>
      </c>
      <c r="BX21" s="812">
        <f>S24</f>
        <v>320.42</v>
      </c>
      <c r="BY21" s="30"/>
      <c r="BZ21" s="23"/>
      <c r="CA21" s="29"/>
      <c r="CC21" s="16"/>
      <c r="CE21" s="66" t="s">
        <v>709</v>
      </c>
      <c r="CF21" s="65">
        <f t="shared" si="2"/>
        <v>320.42</v>
      </c>
      <c r="CH21" s="14"/>
      <c r="CI21" s="488">
        <v>12</v>
      </c>
      <c r="CJ21" s="1191" t="s">
        <v>177</v>
      </c>
      <c r="CK21" s="505" t="s">
        <v>1312</v>
      </c>
      <c r="CL21" s="817">
        <f t="shared" si="3"/>
        <v>320.42</v>
      </c>
      <c r="CM21" s="819">
        <f>AT24</f>
        <v>7.57</v>
      </c>
      <c r="CN21" s="30"/>
      <c r="CO21" s="23"/>
      <c r="CP21" s="29"/>
      <c r="CQ21" s="831"/>
      <c r="CR21" s="16"/>
      <c r="CU21" s="14"/>
      <c r="CV21" s="488">
        <v>12</v>
      </c>
      <c r="CW21" s="1191" t="s">
        <v>177</v>
      </c>
      <c r="CX21" s="505" t="s">
        <v>1312</v>
      </c>
      <c r="CY21" s="817">
        <f t="shared" si="4"/>
        <v>320.42</v>
      </c>
      <c r="CZ21" s="819">
        <f>CZ12</f>
        <v>63.07</v>
      </c>
      <c r="DA21" s="30"/>
      <c r="DB21" s="23"/>
      <c r="DC21" s="29"/>
      <c r="DD21" s="831"/>
      <c r="DE21" s="16" t="s">
        <v>1079</v>
      </c>
      <c r="DH21" s="14"/>
      <c r="DJ21" s="452">
        <v>12</v>
      </c>
      <c r="DK21" s="462" t="s">
        <v>1099</v>
      </c>
      <c r="DL21" s="482">
        <v>36</v>
      </c>
      <c r="DM21" s="806">
        <f>BX41</f>
        <v>2888.58</v>
      </c>
      <c r="DN21" s="961">
        <f t="shared" si="10"/>
        <v>0</v>
      </c>
      <c r="DO21" s="491"/>
      <c r="DQ21" s="16"/>
      <c r="DT21" s="14"/>
      <c r="DU21" s="18"/>
      <c r="DV21" s="452">
        <v>12</v>
      </c>
      <c r="DW21" s="462" t="s">
        <v>1099</v>
      </c>
      <c r="DX21" s="482">
        <v>36</v>
      </c>
      <c r="DY21" s="809">
        <f t="shared" si="7"/>
        <v>2888.58</v>
      </c>
      <c r="DZ21" s="806">
        <f t="shared" si="11"/>
        <v>1172.61</v>
      </c>
      <c r="EB21" s="24"/>
      <c r="EC21" s="16"/>
      <c r="EE21" s="66" t="s">
        <v>869</v>
      </c>
      <c r="EF21" s="65">
        <f t="shared" si="9"/>
        <v>0</v>
      </c>
      <c r="EH21" s="349"/>
      <c r="EI21" s="353"/>
      <c r="EJ21" s="131"/>
      <c r="EK21" s="318"/>
      <c r="EL21" s="29"/>
      <c r="EM21" s="352"/>
      <c r="EN21" s="61"/>
      <c r="EO21" s="318"/>
      <c r="EP21" s="61"/>
      <c r="EQ21" s="476"/>
      <c r="ER21" s="350"/>
    </row>
    <row r="22" spans="4:148" ht="13.5" customHeight="1">
      <c r="D22" s="284"/>
      <c r="E22" s="82"/>
      <c r="F22" s="77"/>
      <c r="G22" s="87"/>
      <c r="H22" s="87"/>
      <c r="I22" s="87"/>
      <c r="J22" s="87"/>
      <c r="L22" s="66" t="s">
        <v>709</v>
      </c>
      <c r="M22" s="65">
        <f t="shared" si="5"/>
        <v>305.92</v>
      </c>
      <c r="N22" s="44"/>
      <c r="O22" s="14"/>
      <c r="P22" s="1024">
        <v>13</v>
      </c>
      <c r="Q22" s="1202"/>
      <c r="R22" s="474" t="s">
        <v>198</v>
      </c>
      <c r="S22" s="1023">
        <f>VLOOKUP("TV GERAL 04 40H",RHE,10,FALSE)</f>
        <v>407.9</v>
      </c>
      <c r="T22" s="24"/>
      <c r="U22" s="452">
        <v>60</v>
      </c>
      <c r="V22" s="1182"/>
      <c r="W22" s="450" t="s">
        <v>1312</v>
      </c>
      <c r="X22" s="806">
        <f>ROUNDDOWN(X23*0.75,2)</f>
        <v>2786.57</v>
      </c>
      <c r="Y22" s="949">
        <f>ROUNDDOWN(Y23*0.75,2)</f>
        <v>0</v>
      </c>
      <c r="Z22" s="16"/>
      <c r="AA22" s="18"/>
      <c r="AB22" s="66" t="s">
        <v>1440</v>
      </c>
      <c r="AC22" s="65">
        <f t="shared" si="6"/>
        <v>380</v>
      </c>
      <c r="AE22" s="14"/>
      <c r="AF22" s="483">
        <v>13</v>
      </c>
      <c r="AG22" s="1192"/>
      <c r="AH22" s="507" t="s">
        <v>198</v>
      </c>
      <c r="AI22" s="807">
        <f>VLOOKUP("TV GERAL 04 40H",RHE,18,FALSE)</f>
        <v>380</v>
      </c>
      <c r="AJ22" s="15"/>
      <c r="AK22" s="16"/>
      <c r="AL22" s="25"/>
      <c r="AO22" s="14"/>
      <c r="AP22" s="483">
        <v>13</v>
      </c>
      <c r="AQ22" s="1192"/>
      <c r="AR22" s="507" t="s">
        <v>198</v>
      </c>
      <c r="AS22" s="816">
        <f t="shared" si="0"/>
        <v>407.9</v>
      </c>
      <c r="AT22" s="818">
        <f>VLOOKUP("TV GERAL 04 40H",RHE,12,FALSE)</f>
        <v>8.5</v>
      </c>
      <c r="AU22" s="15"/>
      <c r="AV22" s="16"/>
      <c r="AW22" s="44"/>
      <c r="AX22" s="25"/>
      <c r="AZ22" s="14"/>
      <c r="BA22" s="483">
        <v>13</v>
      </c>
      <c r="BB22" s="1215"/>
      <c r="BC22" s="507" t="s">
        <v>198</v>
      </c>
      <c r="BD22" s="816">
        <f t="shared" si="1"/>
        <v>407.9</v>
      </c>
      <c r="BE22" s="818">
        <f>VLOOKUP("TV GERAL 04 40H",RHE,14,FALSE)</f>
        <v>84.1</v>
      </c>
      <c r="BF22" s="18"/>
      <c r="BG22" s="34"/>
      <c r="BJ22" s="14"/>
      <c r="BL22" s="452">
        <v>60</v>
      </c>
      <c r="BM22" s="1182"/>
      <c r="BN22" s="450" t="s">
        <v>1312</v>
      </c>
      <c r="BO22" s="809">
        <f t="shared" si="8"/>
        <v>2786.57</v>
      </c>
      <c r="BP22" s="825">
        <f>ROUNDDOWN(BP23*0.75,2)</f>
        <v>977.17</v>
      </c>
      <c r="BR22" s="34"/>
      <c r="BS22" s="27"/>
      <c r="BT22" s="38"/>
      <c r="BU22" s="477">
        <v>13</v>
      </c>
      <c r="BV22" s="1202"/>
      <c r="BW22" s="474" t="s">
        <v>198</v>
      </c>
      <c r="BX22" s="807">
        <f>S25</f>
        <v>427.23</v>
      </c>
      <c r="BY22" s="30"/>
      <c r="BZ22" s="23"/>
      <c r="CA22" s="31"/>
      <c r="CB22" s="31"/>
      <c r="CC22" s="16"/>
      <c r="CE22" s="66" t="s">
        <v>84</v>
      </c>
      <c r="CF22" s="65">
        <f t="shared" si="2"/>
        <v>427.23</v>
      </c>
      <c r="CH22" s="14"/>
      <c r="CI22" s="483">
        <v>13</v>
      </c>
      <c r="CJ22" s="1202"/>
      <c r="CK22" s="504" t="s">
        <v>198</v>
      </c>
      <c r="CL22" s="816">
        <f t="shared" si="3"/>
        <v>427.23</v>
      </c>
      <c r="CM22" s="818">
        <f>SUS02</f>
        <v>10.1</v>
      </c>
      <c r="CN22" s="30"/>
      <c r="CO22" s="23"/>
      <c r="CP22" s="31"/>
      <c r="CQ22" s="832"/>
      <c r="CR22" s="16"/>
      <c r="CU22" s="14"/>
      <c r="CV22" s="483">
        <v>13</v>
      </c>
      <c r="CW22" s="1202"/>
      <c r="CX22" s="504" t="s">
        <v>198</v>
      </c>
      <c r="CY22" s="816">
        <f t="shared" si="4"/>
        <v>427.23</v>
      </c>
      <c r="CZ22" s="818">
        <f>CZ14</f>
        <v>84.1</v>
      </c>
      <c r="DA22" s="30"/>
      <c r="DB22" s="23"/>
      <c r="DC22" s="31"/>
      <c r="DD22" s="832"/>
      <c r="DE22" s="16"/>
      <c r="DH22" s="14"/>
      <c r="DJ22" s="452">
        <v>13</v>
      </c>
      <c r="DK22" s="462" t="s">
        <v>1108</v>
      </c>
      <c r="DL22" s="482">
        <v>36</v>
      </c>
      <c r="DM22" s="806">
        <f>BX41</f>
        <v>2888.58</v>
      </c>
      <c r="DN22" s="961">
        <f t="shared" si="10"/>
        <v>0</v>
      </c>
      <c r="DO22" s="491"/>
      <c r="DQ22" s="16"/>
      <c r="DT22" s="14"/>
      <c r="DU22" s="18"/>
      <c r="DV22" s="452">
        <v>13</v>
      </c>
      <c r="DW22" s="462" t="s">
        <v>1108</v>
      </c>
      <c r="DX22" s="482">
        <v>36</v>
      </c>
      <c r="DY22" s="809">
        <f t="shared" si="7"/>
        <v>2888.58</v>
      </c>
      <c r="DZ22" s="806">
        <f t="shared" si="11"/>
        <v>1172.61</v>
      </c>
      <c r="EB22" s="24"/>
      <c r="EC22" s="16"/>
      <c r="EE22" s="66" t="s">
        <v>708</v>
      </c>
      <c r="EF22" s="65">
        <f t="shared" si="9"/>
        <v>0</v>
      </c>
      <c r="EH22" s="349"/>
      <c r="EI22" s="353"/>
      <c r="EJ22" s="131"/>
      <c r="EK22" s="318"/>
      <c r="EL22" s="29"/>
      <c r="EM22" s="352"/>
      <c r="EN22" s="61"/>
      <c r="EO22" s="131"/>
      <c r="EP22" s="131"/>
      <c r="EQ22" s="29"/>
      <c r="ER22" s="350"/>
    </row>
    <row r="23" spans="4:148" ht="12.75" customHeight="1">
      <c r="D23" s="284"/>
      <c r="G23" s="87"/>
      <c r="H23" s="87"/>
      <c r="I23" s="87"/>
      <c r="J23" s="87"/>
      <c r="L23" s="66" t="s">
        <v>84</v>
      </c>
      <c r="M23" s="65">
        <f t="shared" si="5"/>
        <v>407.9</v>
      </c>
      <c r="N23" s="44"/>
      <c r="O23" s="14"/>
      <c r="P23" s="475">
        <v>14</v>
      </c>
      <c r="Q23" s="1181" t="s">
        <v>155</v>
      </c>
      <c r="R23" s="472" t="s">
        <v>1302</v>
      </c>
      <c r="S23" s="806">
        <f>ROUNDDOWN(S25*0.5,2)</f>
        <v>213.61</v>
      </c>
      <c r="T23" s="24"/>
      <c r="U23" s="1025">
        <v>61</v>
      </c>
      <c r="V23" s="1183"/>
      <c r="W23" s="454" t="s">
        <v>198</v>
      </c>
      <c r="X23" s="1026">
        <f>VLOOKUP("TV TEC CIENTIFICO 04 40H",RHE,10,FALSE)</f>
        <v>3715.43</v>
      </c>
      <c r="Y23" s="949">
        <f>VLOOKUP("TV TEC CIENTIFICO 04 40H",RHE,12,FALSE)</f>
        <v>0</v>
      </c>
      <c r="Z23" s="16"/>
      <c r="AA23" s="18"/>
      <c r="AB23" s="66" t="s">
        <v>1441</v>
      </c>
      <c r="AC23" s="65">
        <f t="shared" si="6"/>
        <v>185</v>
      </c>
      <c r="AE23" s="14"/>
      <c r="AF23" s="488">
        <v>14</v>
      </c>
      <c r="AG23" s="1191" t="s">
        <v>155</v>
      </c>
      <c r="AH23" s="509" t="s">
        <v>1302</v>
      </c>
      <c r="AI23" s="819">
        <f>ROUNDDOWN(AI25*0.5,2)</f>
        <v>185</v>
      </c>
      <c r="AJ23" s="15"/>
      <c r="AK23" s="16"/>
      <c r="AL23" s="25"/>
      <c r="AO23" s="14"/>
      <c r="AP23" s="488">
        <v>14</v>
      </c>
      <c r="AQ23" s="1191" t="s">
        <v>155</v>
      </c>
      <c r="AR23" s="509" t="s">
        <v>1302</v>
      </c>
      <c r="AS23" s="817">
        <f t="shared" si="0"/>
        <v>213.61</v>
      </c>
      <c r="AT23" s="819">
        <f>ROUNDDOWN(AT25*0.5,2)</f>
        <v>5.05</v>
      </c>
      <c r="AU23" s="15"/>
      <c r="AV23" s="16"/>
      <c r="AW23" s="44"/>
      <c r="AX23" s="25"/>
      <c r="AZ23" s="14"/>
      <c r="BA23" s="488">
        <v>14</v>
      </c>
      <c r="BB23" s="1215" t="s">
        <v>155</v>
      </c>
      <c r="BC23" s="509" t="s">
        <v>1302</v>
      </c>
      <c r="BD23" s="817">
        <f t="shared" si="1"/>
        <v>213.61</v>
      </c>
      <c r="BE23" s="819">
        <f>ROUNDDOWN(BE25*0.5,2)</f>
        <v>42.05</v>
      </c>
      <c r="BF23" s="18"/>
      <c r="BG23" s="34"/>
      <c r="BJ23" s="14"/>
      <c r="BK23" s="15"/>
      <c r="BL23" s="453">
        <v>61</v>
      </c>
      <c r="BM23" s="1183"/>
      <c r="BN23" s="454" t="s">
        <v>198</v>
      </c>
      <c r="BO23" s="813">
        <f t="shared" si="8"/>
        <v>3715.43</v>
      </c>
      <c r="BP23" s="828">
        <f>VLOOKUP("TV TEC CIENTIFICO 04 40H",RHE,14,FALSE)</f>
        <v>1302.9</v>
      </c>
      <c r="BR23" s="34"/>
      <c r="BS23" s="27"/>
      <c r="BT23" s="38"/>
      <c r="BU23" s="475">
        <v>14</v>
      </c>
      <c r="BV23" s="1178" t="s">
        <v>178</v>
      </c>
      <c r="BW23" s="472" t="s">
        <v>1312</v>
      </c>
      <c r="BX23" s="812">
        <f>S27</f>
        <v>336.26</v>
      </c>
      <c r="BY23" s="30"/>
      <c r="BZ23" s="24"/>
      <c r="CA23" s="88" t="s">
        <v>34</v>
      </c>
      <c r="CB23" s="829">
        <f>ROUNDDOWN(PISO_40H*0.1,2)</f>
        <v>35.52</v>
      </c>
      <c r="CC23" s="16"/>
      <c r="CE23" s="66" t="s">
        <v>85</v>
      </c>
      <c r="CF23" s="65">
        <f t="shared" si="2"/>
        <v>336.26</v>
      </c>
      <c r="CH23" s="14"/>
      <c r="CI23" s="488">
        <v>14</v>
      </c>
      <c r="CJ23" s="1178" t="s">
        <v>178</v>
      </c>
      <c r="CK23" s="505" t="s">
        <v>1312</v>
      </c>
      <c r="CL23" s="817">
        <f t="shared" si="3"/>
        <v>336.26</v>
      </c>
      <c r="CM23" s="819">
        <f>CM21</f>
        <v>7.57</v>
      </c>
      <c r="CN23" s="30"/>
      <c r="CO23" s="24"/>
      <c r="CP23" s="88" t="s">
        <v>34</v>
      </c>
      <c r="CQ23" s="829">
        <f>ABONO_FAMILIA</f>
        <v>35.52</v>
      </c>
      <c r="CR23" s="16"/>
      <c r="CU23" s="14"/>
      <c r="CV23" s="488">
        <v>14</v>
      </c>
      <c r="CW23" s="509" t="s">
        <v>178</v>
      </c>
      <c r="CX23" s="505" t="s">
        <v>1312</v>
      </c>
      <c r="CY23" s="817">
        <f t="shared" si="4"/>
        <v>336.26</v>
      </c>
      <c r="CZ23" s="819">
        <f>BE27</f>
        <v>104.62</v>
      </c>
      <c r="DA23" s="30"/>
      <c r="DB23" s="24"/>
      <c r="DC23" s="88" t="s">
        <v>34</v>
      </c>
      <c r="DD23" s="829">
        <f>CQ23</f>
        <v>35.52</v>
      </c>
      <c r="DE23" s="16"/>
      <c r="DH23" s="14"/>
      <c r="DJ23" s="452">
        <v>14</v>
      </c>
      <c r="DK23" s="462" t="s">
        <v>1109</v>
      </c>
      <c r="DL23" s="482">
        <v>40</v>
      </c>
      <c r="DM23" s="806">
        <f>BX42</f>
        <v>3209.54</v>
      </c>
      <c r="DN23" s="961">
        <f>PARC_TEC_CIEN_40</f>
        <v>0</v>
      </c>
      <c r="DO23" s="491"/>
      <c r="DQ23" s="16"/>
      <c r="DT23" s="14"/>
      <c r="DU23" s="18"/>
      <c r="DV23" s="452">
        <v>14</v>
      </c>
      <c r="DW23" s="462" t="s">
        <v>1109</v>
      </c>
      <c r="DX23" s="482">
        <v>40</v>
      </c>
      <c r="DY23" s="809">
        <f t="shared" si="7"/>
        <v>3209.54</v>
      </c>
      <c r="DZ23" s="806">
        <f>PEPA06</f>
        <v>1302.9</v>
      </c>
      <c r="EB23" s="24"/>
      <c r="EC23" s="16"/>
      <c r="EE23" s="66" t="s">
        <v>709</v>
      </c>
      <c r="EF23" s="65">
        <f t="shared" si="9"/>
        <v>0</v>
      </c>
      <c r="EH23" s="349"/>
      <c r="EI23" s="353"/>
      <c r="EJ23" s="131"/>
      <c r="EK23" s="318"/>
      <c r="EL23" s="29"/>
      <c r="EM23" s="352"/>
      <c r="EN23" s="61"/>
      <c r="EO23" s="15"/>
      <c r="EP23" s="15"/>
      <c r="EQ23" s="15"/>
      <c r="ER23" s="350"/>
    </row>
    <row r="24" spans="4:148" ht="12.75" customHeight="1">
      <c r="D24" s="284"/>
      <c r="G24" s="87"/>
      <c r="H24" s="87"/>
      <c r="I24" s="87"/>
      <c r="J24" s="87"/>
      <c r="L24" s="66" t="s">
        <v>85</v>
      </c>
      <c r="M24" s="65">
        <f t="shared" si="5"/>
        <v>213.61</v>
      </c>
      <c r="N24" s="44"/>
      <c r="O24" s="14"/>
      <c r="P24" s="452">
        <v>15</v>
      </c>
      <c r="Q24" s="1182"/>
      <c r="R24" s="450" t="s">
        <v>1312</v>
      </c>
      <c r="S24" s="806">
        <f>ROUNDDOWN(S25*0.75,2)</f>
        <v>320.42</v>
      </c>
      <c r="T24" s="24"/>
      <c r="U24" s="471">
        <v>62</v>
      </c>
      <c r="V24" s="1178" t="s">
        <v>1532</v>
      </c>
      <c r="W24" s="472" t="s">
        <v>1302</v>
      </c>
      <c r="X24" s="812">
        <f>ROUNDDOWN(X26*0.5,2)</f>
        <v>1950.6</v>
      </c>
      <c r="Z24" s="16"/>
      <c r="AA24" s="18"/>
      <c r="AB24" s="66" t="s">
        <v>1442</v>
      </c>
      <c r="AC24" s="65">
        <f t="shared" si="6"/>
        <v>277.5</v>
      </c>
      <c r="AE24" s="14"/>
      <c r="AF24" s="452">
        <v>15</v>
      </c>
      <c r="AG24" s="1182"/>
      <c r="AH24" s="503" t="s">
        <v>1312</v>
      </c>
      <c r="AI24" s="806">
        <f>ROUNDDOWN(AI25*0.75,2)</f>
        <v>277.5</v>
      </c>
      <c r="AJ24" s="15"/>
      <c r="AK24" s="16"/>
      <c r="AL24" s="25"/>
      <c r="AO24" s="14"/>
      <c r="AP24" s="452">
        <v>15</v>
      </c>
      <c r="AQ24" s="1182"/>
      <c r="AR24" s="503" t="s">
        <v>1312</v>
      </c>
      <c r="AS24" s="809">
        <f t="shared" si="0"/>
        <v>320.42</v>
      </c>
      <c r="AT24" s="806">
        <f>ROUNDDOWN(AT25*0.75,2)</f>
        <v>7.57</v>
      </c>
      <c r="AU24" s="15"/>
      <c r="AV24" s="16"/>
      <c r="AW24" s="44"/>
      <c r="AX24" s="25"/>
      <c r="AZ24" s="14"/>
      <c r="BA24" s="452">
        <v>15</v>
      </c>
      <c r="BB24" s="1215"/>
      <c r="BC24" s="503" t="s">
        <v>1312</v>
      </c>
      <c r="BD24" s="809">
        <f t="shared" si="1"/>
        <v>320.42</v>
      </c>
      <c r="BE24" s="806">
        <f>ROUNDDOWN(BE25*0.75,2)</f>
        <v>63.07</v>
      </c>
      <c r="BF24" s="18"/>
      <c r="BG24" s="34"/>
      <c r="BJ24" s="14"/>
      <c r="BK24" s="15"/>
      <c r="BQ24" s="15"/>
      <c r="BR24" s="34"/>
      <c r="BS24" s="27"/>
      <c r="BT24" s="38"/>
      <c r="BU24" s="477">
        <v>15</v>
      </c>
      <c r="BV24" s="1180"/>
      <c r="BW24" s="474" t="s">
        <v>198</v>
      </c>
      <c r="BX24" s="807">
        <f>S28</f>
        <v>448.35</v>
      </c>
      <c r="BY24" s="30"/>
      <c r="BZ24" s="23"/>
      <c r="CA24" s="29"/>
      <c r="CC24" s="16"/>
      <c r="CE24" s="66" t="s">
        <v>715</v>
      </c>
      <c r="CF24" s="65">
        <f t="shared" si="2"/>
        <v>448.35</v>
      </c>
      <c r="CH24" s="14"/>
      <c r="CI24" s="483">
        <v>15</v>
      </c>
      <c r="CJ24" s="1180"/>
      <c r="CK24" s="504" t="s">
        <v>198</v>
      </c>
      <c r="CL24" s="816">
        <f t="shared" si="3"/>
        <v>448.35</v>
      </c>
      <c r="CM24" s="818">
        <f>CM22</f>
        <v>10.1</v>
      </c>
      <c r="CN24" s="30"/>
      <c r="CO24" s="23"/>
      <c r="CP24" s="29"/>
      <c r="CQ24" s="831"/>
      <c r="CR24" s="16"/>
      <c r="CU24" s="14"/>
      <c r="CV24" s="483">
        <v>15</v>
      </c>
      <c r="CW24" s="788"/>
      <c r="CX24" s="504" t="s">
        <v>198</v>
      </c>
      <c r="CY24" s="816">
        <f t="shared" si="4"/>
        <v>448.35</v>
      </c>
      <c r="CZ24" s="818">
        <f>BE28</f>
        <v>139.5</v>
      </c>
      <c r="DA24" s="30"/>
      <c r="DB24" s="23"/>
      <c r="DC24" s="29"/>
      <c r="DD24" s="831"/>
      <c r="DE24" s="16"/>
      <c r="DH24" s="14"/>
      <c r="DJ24" s="452">
        <v>15</v>
      </c>
      <c r="DK24" s="462" t="s">
        <v>1110</v>
      </c>
      <c r="DL24" s="482">
        <v>30</v>
      </c>
      <c r="DM24" s="806">
        <f>BX40</f>
        <v>2407.15</v>
      </c>
      <c r="DN24" s="961">
        <f>PARC_TEC_CIEN_30</f>
        <v>0</v>
      </c>
      <c r="DO24" s="491"/>
      <c r="DQ24" s="16"/>
      <c r="DT24" s="14"/>
      <c r="DU24" s="18"/>
      <c r="DV24" s="452">
        <v>15</v>
      </c>
      <c r="DW24" s="462" t="s">
        <v>1110</v>
      </c>
      <c r="DX24" s="482">
        <v>30</v>
      </c>
      <c r="DY24" s="809">
        <f t="shared" si="7"/>
        <v>2407.15</v>
      </c>
      <c r="DZ24" s="806">
        <f>DZ15</f>
        <v>977.17</v>
      </c>
      <c r="EB24" s="24"/>
      <c r="EC24" s="16"/>
      <c r="EE24" s="66" t="s">
        <v>84</v>
      </c>
      <c r="EF24" s="65">
        <f t="shared" si="9"/>
        <v>0</v>
      </c>
      <c r="EH24" s="349"/>
      <c r="EI24" s="353"/>
      <c r="EJ24" s="131"/>
      <c r="EK24" s="318"/>
      <c r="EL24" s="29"/>
      <c r="EM24" s="352"/>
      <c r="EN24" s="15"/>
      <c r="EO24" s="15"/>
      <c r="EP24" s="15"/>
      <c r="EQ24" s="15"/>
      <c r="ER24" s="350"/>
    </row>
    <row r="25" spans="4:148" ht="12.75" customHeight="1">
      <c r="D25" s="284"/>
      <c r="G25" s="87"/>
      <c r="H25" s="87"/>
      <c r="I25" s="87"/>
      <c r="J25" s="87"/>
      <c r="L25" s="66" t="s">
        <v>715</v>
      </c>
      <c r="M25" s="65">
        <f t="shared" si="5"/>
        <v>320.42</v>
      </c>
      <c r="N25" s="44"/>
      <c r="O25" s="14"/>
      <c r="P25" s="1024">
        <v>16</v>
      </c>
      <c r="Q25" s="1202"/>
      <c r="R25" s="474" t="s">
        <v>198</v>
      </c>
      <c r="S25" s="1023">
        <f>VLOOKUP("TV GERAL 05 40H",RHE,10,FALSE)</f>
        <v>427.23</v>
      </c>
      <c r="T25" s="24"/>
      <c r="U25" s="449">
        <v>63</v>
      </c>
      <c r="V25" s="1179"/>
      <c r="W25" s="450" t="s">
        <v>1312</v>
      </c>
      <c r="X25" s="806">
        <f>ROUNDDOWN(X26*0.75,2)</f>
        <v>2925.9</v>
      </c>
      <c r="Y25" s="111"/>
      <c r="Z25" s="16"/>
      <c r="AA25" s="18"/>
      <c r="AB25" s="66" t="s">
        <v>1443</v>
      </c>
      <c r="AC25" s="65">
        <f t="shared" si="6"/>
        <v>370</v>
      </c>
      <c r="AE25" s="14"/>
      <c r="AF25" s="483">
        <v>16</v>
      </c>
      <c r="AG25" s="1192"/>
      <c r="AH25" s="507" t="s">
        <v>198</v>
      </c>
      <c r="AI25" s="807">
        <f>VLOOKUP("TV GERAL 05 40H",RHE,18,FALSE)</f>
        <v>370</v>
      </c>
      <c r="AJ25" s="15"/>
      <c r="AK25" s="16"/>
      <c r="AL25" s="25"/>
      <c r="AO25" s="14"/>
      <c r="AP25" s="483">
        <v>16</v>
      </c>
      <c r="AQ25" s="1192"/>
      <c r="AR25" s="507" t="s">
        <v>198</v>
      </c>
      <c r="AS25" s="816">
        <f t="shared" si="0"/>
        <v>427.23</v>
      </c>
      <c r="AT25" s="818">
        <f>VLOOKUP("TV GERAL 05 40H",RHE,12,FALSE)</f>
        <v>10.1</v>
      </c>
      <c r="AU25" s="15"/>
      <c r="AV25" s="16"/>
      <c r="AW25" s="44"/>
      <c r="AX25" s="25"/>
      <c r="AZ25" s="14"/>
      <c r="BA25" s="483">
        <v>16</v>
      </c>
      <c r="BB25" s="1215"/>
      <c r="BC25" s="507" t="s">
        <v>198</v>
      </c>
      <c r="BD25" s="816">
        <f t="shared" si="1"/>
        <v>427.23</v>
      </c>
      <c r="BE25" s="818">
        <f>VLOOKUP("TV GERAL 05 40H",RHE,14,FALSE)</f>
        <v>84.1</v>
      </c>
      <c r="BF25" s="18"/>
      <c r="BG25" s="34"/>
      <c r="BJ25" s="14"/>
      <c r="BK25" s="15"/>
      <c r="BL25" s="111"/>
      <c r="BM25" s="111"/>
      <c r="BN25" s="111"/>
      <c r="BO25" s="111"/>
      <c r="BP25" s="111"/>
      <c r="BQ25" s="111"/>
      <c r="BR25" s="34"/>
      <c r="BS25" s="27"/>
      <c r="BT25" s="38"/>
      <c r="BU25" s="475">
        <v>16</v>
      </c>
      <c r="BV25" s="1181" t="s">
        <v>179</v>
      </c>
      <c r="BW25" s="472" t="s">
        <v>1312</v>
      </c>
      <c r="BX25" s="812">
        <f>S30</f>
        <v>352.76</v>
      </c>
      <c r="BY25" s="30"/>
      <c r="BZ25" s="23"/>
      <c r="CC25" s="16"/>
      <c r="CE25" s="66" t="s">
        <v>716</v>
      </c>
      <c r="CF25" s="65">
        <f t="shared" si="2"/>
        <v>352.76</v>
      </c>
      <c r="CH25" s="14"/>
      <c r="CI25" s="488">
        <v>16</v>
      </c>
      <c r="CJ25" s="1191" t="s">
        <v>179</v>
      </c>
      <c r="CK25" s="505" t="s">
        <v>1312</v>
      </c>
      <c r="CL25" s="817">
        <f t="shared" si="3"/>
        <v>352.76</v>
      </c>
      <c r="CM25" s="819">
        <f>CM21</f>
        <v>7.57</v>
      </c>
      <c r="CN25" s="30"/>
      <c r="CO25" s="23"/>
      <c r="CQ25" s="831"/>
      <c r="CR25" s="16"/>
      <c r="CU25" s="14"/>
      <c r="CV25" s="488">
        <v>16</v>
      </c>
      <c r="CW25" s="1191" t="s">
        <v>179</v>
      </c>
      <c r="CX25" s="505" t="s">
        <v>1312</v>
      </c>
      <c r="CY25" s="817">
        <f t="shared" si="4"/>
        <v>352.76</v>
      </c>
      <c r="CZ25" s="819">
        <f>CZ23</f>
        <v>104.62</v>
      </c>
      <c r="DA25" s="30"/>
      <c r="DB25" s="23"/>
      <c r="DD25" s="831"/>
      <c r="DE25" s="16"/>
      <c r="DH25" s="14"/>
      <c r="DJ25" s="483">
        <v>16</v>
      </c>
      <c r="DK25" s="484" t="s">
        <v>1111</v>
      </c>
      <c r="DL25" s="485">
        <v>30</v>
      </c>
      <c r="DM25" s="818">
        <f>BX40</f>
        <v>2407.15</v>
      </c>
      <c r="DN25" s="961">
        <f>PARC_TEC_CIEN_30</f>
        <v>0</v>
      </c>
      <c r="DO25" s="491"/>
      <c r="DQ25" s="16"/>
      <c r="DT25" s="14"/>
      <c r="DU25" s="18"/>
      <c r="DV25" s="453">
        <v>16</v>
      </c>
      <c r="DW25" s="465" t="s">
        <v>1111</v>
      </c>
      <c r="DX25" s="485">
        <v>30</v>
      </c>
      <c r="DY25" s="813">
        <f t="shared" si="7"/>
        <v>2407.15</v>
      </c>
      <c r="DZ25" s="820">
        <f>DZ13</f>
        <v>977.17</v>
      </c>
      <c r="EB25" s="24"/>
      <c r="EC25" s="16"/>
      <c r="EE25" s="66" t="s">
        <v>85</v>
      </c>
      <c r="EF25" s="65">
        <f t="shared" si="9"/>
        <v>0</v>
      </c>
      <c r="EH25" s="349"/>
      <c r="EI25" s="353"/>
      <c r="EJ25" s="131"/>
      <c r="EK25" s="318"/>
      <c r="EL25" s="29"/>
      <c r="EM25" s="352"/>
      <c r="EN25" s="111"/>
      <c r="EO25" s="15"/>
      <c r="EP25" s="15"/>
      <c r="EQ25" s="15"/>
      <c r="ER25" s="350"/>
    </row>
    <row r="26" spans="4:148" ht="12.75" customHeight="1">
      <c r="D26" s="284"/>
      <c r="G26" s="87"/>
      <c r="H26" s="87"/>
      <c r="I26" s="87"/>
      <c r="J26" s="87"/>
      <c r="L26" s="66" t="s">
        <v>716</v>
      </c>
      <c r="M26" s="65">
        <f t="shared" si="5"/>
        <v>427.23</v>
      </c>
      <c r="N26" s="44"/>
      <c r="O26" s="14"/>
      <c r="P26" s="475">
        <v>17</v>
      </c>
      <c r="Q26" s="1181" t="s">
        <v>156</v>
      </c>
      <c r="R26" s="472" t="s">
        <v>1302</v>
      </c>
      <c r="S26" s="806">
        <f>ROUNDDOWN(S28*0.5,2)</f>
        <v>224.17</v>
      </c>
      <c r="T26" s="24"/>
      <c r="U26" s="1022">
        <v>64</v>
      </c>
      <c r="V26" s="1180"/>
      <c r="W26" s="474" t="s">
        <v>198</v>
      </c>
      <c r="X26" s="1023">
        <f>VLOOKUP("TV TEC CIENTIFICO 05 40H",RHE,10,FALSE)</f>
        <v>3901.2</v>
      </c>
      <c r="Y26" s="111"/>
      <c r="Z26" s="16"/>
      <c r="AA26" s="18"/>
      <c r="AB26" s="66" t="s">
        <v>1444</v>
      </c>
      <c r="AC26" s="65">
        <f t="shared" si="6"/>
        <v>180</v>
      </c>
      <c r="AE26" s="14"/>
      <c r="AF26" s="488">
        <v>17</v>
      </c>
      <c r="AG26" s="1191" t="s">
        <v>156</v>
      </c>
      <c r="AH26" s="509" t="s">
        <v>1302</v>
      </c>
      <c r="AI26" s="819">
        <f>ROUNDDOWN(AI28*0.5,2)</f>
        <v>180</v>
      </c>
      <c r="AJ26" s="15"/>
      <c r="AK26" s="16"/>
      <c r="AL26" s="25"/>
      <c r="AO26" s="14"/>
      <c r="AP26" s="488">
        <v>17</v>
      </c>
      <c r="AQ26" s="1191" t="s">
        <v>156</v>
      </c>
      <c r="AR26" s="509" t="s">
        <v>1302</v>
      </c>
      <c r="AS26" s="817">
        <f t="shared" si="0"/>
        <v>224.17</v>
      </c>
      <c r="AT26" s="819">
        <f>ROUNDDOWN(AT28*0.5,2)</f>
        <v>5.05</v>
      </c>
      <c r="AU26" s="15"/>
      <c r="AV26" s="16"/>
      <c r="AW26" s="44"/>
      <c r="AX26" s="25"/>
      <c r="AZ26" s="14"/>
      <c r="BA26" s="488">
        <v>17</v>
      </c>
      <c r="BB26" s="1215" t="s">
        <v>156</v>
      </c>
      <c r="BC26" s="509" t="s">
        <v>1302</v>
      </c>
      <c r="BD26" s="817">
        <f t="shared" si="1"/>
        <v>224.17</v>
      </c>
      <c r="BE26" s="819">
        <f>ROUNDDOWN(BE28*0.5,2)</f>
        <v>69.75</v>
      </c>
      <c r="BF26" s="18"/>
      <c r="BG26" s="34"/>
      <c r="BJ26" s="14"/>
      <c r="BK26" s="15"/>
      <c r="BL26" s="111"/>
      <c r="BM26" s="111"/>
      <c r="BN26" s="111"/>
      <c r="BO26" s="111"/>
      <c r="BP26" s="111"/>
      <c r="BQ26" s="15"/>
      <c r="BR26" s="34"/>
      <c r="BS26" s="27"/>
      <c r="BT26" s="38"/>
      <c r="BU26" s="477">
        <v>17</v>
      </c>
      <c r="BV26" s="1202"/>
      <c r="BW26" s="474" t="s">
        <v>198</v>
      </c>
      <c r="BX26" s="807">
        <f>S31</f>
        <v>470.35</v>
      </c>
      <c r="BY26" s="30"/>
      <c r="BZ26" s="23"/>
      <c r="CA26" s="88" t="s">
        <v>51</v>
      </c>
      <c r="CB26" s="829">
        <f>ABONO_FAMILIA*3</f>
        <v>106.56</v>
      </c>
      <c r="CC26" s="16"/>
      <c r="CE26" s="66" t="s">
        <v>717</v>
      </c>
      <c r="CF26" s="65">
        <f t="shared" si="2"/>
        <v>470.35</v>
      </c>
      <c r="CH26" s="14"/>
      <c r="CI26" s="483">
        <v>17</v>
      </c>
      <c r="CJ26" s="1202"/>
      <c r="CK26" s="504" t="s">
        <v>198</v>
      </c>
      <c r="CL26" s="816">
        <f t="shared" si="3"/>
        <v>470.35</v>
      </c>
      <c r="CM26" s="818">
        <f>CM22</f>
        <v>10.1</v>
      </c>
      <c r="CN26" s="30"/>
      <c r="CO26" s="23"/>
      <c r="CP26" s="88" t="s">
        <v>51</v>
      </c>
      <c r="CQ26" s="829">
        <f>ABONO_EXCEPCIONAL</f>
        <v>106.56</v>
      </c>
      <c r="CR26" s="16"/>
      <c r="CU26" s="14"/>
      <c r="CV26" s="483">
        <v>17</v>
      </c>
      <c r="CW26" s="1202"/>
      <c r="CX26" s="504" t="s">
        <v>198</v>
      </c>
      <c r="CY26" s="816">
        <f t="shared" si="4"/>
        <v>470.35</v>
      </c>
      <c r="CZ26" s="818">
        <f>CZ24</f>
        <v>139.5</v>
      </c>
      <c r="DA26" s="30"/>
      <c r="DB26" s="23"/>
      <c r="DC26" s="88" t="s">
        <v>35</v>
      </c>
      <c r="DD26" s="829">
        <f>CQ26</f>
        <v>106.56</v>
      </c>
      <c r="DE26" s="16"/>
      <c r="DH26" s="14"/>
      <c r="DJ26" s="488">
        <v>17</v>
      </c>
      <c r="DK26" s="489" t="s">
        <v>49</v>
      </c>
      <c r="DL26" s="490">
        <v>20</v>
      </c>
      <c r="DM26" s="819">
        <f>X18</f>
        <v>1769.25</v>
      </c>
      <c r="DN26" s="961">
        <f>Y18</f>
        <v>0</v>
      </c>
      <c r="DO26" s="491"/>
      <c r="DQ26" s="16"/>
      <c r="DT26" s="14"/>
      <c r="DU26" s="18"/>
      <c r="EB26" s="24"/>
      <c r="EC26" s="16"/>
      <c r="EE26" s="66" t="s">
        <v>715</v>
      </c>
      <c r="EF26" s="65">
        <f t="shared" si="9"/>
        <v>0</v>
      </c>
      <c r="EH26" s="349"/>
      <c r="EI26" s="353"/>
      <c r="EJ26" s="131"/>
      <c r="EK26" s="318"/>
      <c r="EL26" s="29"/>
      <c r="EM26" s="352"/>
      <c r="EN26" s="323"/>
      <c r="EO26" s="323"/>
      <c r="EP26" s="323"/>
      <c r="EQ26" s="323"/>
      <c r="ER26" s="350"/>
    </row>
    <row r="27" spans="4:148" ht="12.75">
      <c r="D27" s="284"/>
      <c r="G27" s="87"/>
      <c r="H27" s="87"/>
      <c r="I27" s="87"/>
      <c r="J27" s="87"/>
      <c r="L27" s="66" t="s">
        <v>717</v>
      </c>
      <c r="M27" s="65">
        <f t="shared" si="5"/>
        <v>224.17</v>
      </c>
      <c r="N27" s="44"/>
      <c r="O27" s="14"/>
      <c r="P27" s="452">
        <v>18</v>
      </c>
      <c r="Q27" s="1182"/>
      <c r="R27" s="450" t="s">
        <v>1312</v>
      </c>
      <c r="S27" s="806">
        <f>ROUNDDOWN(S28*0.75,2)</f>
        <v>336.26</v>
      </c>
      <c r="T27" s="24"/>
      <c r="U27" s="475">
        <v>65</v>
      </c>
      <c r="V27" s="1181" t="s">
        <v>1533</v>
      </c>
      <c r="W27" s="472" t="s">
        <v>1302</v>
      </c>
      <c r="X27" s="812">
        <f>ROUNDDOWN(X29*0.5,2)</f>
        <v>2048.13</v>
      </c>
      <c r="Y27" s="111"/>
      <c r="Z27" s="16"/>
      <c r="AA27" s="18"/>
      <c r="AB27" s="66" t="s">
        <v>1445</v>
      </c>
      <c r="AC27" s="65">
        <f t="shared" si="6"/>
        <v>270</v>
      </c>
      <c r="AE27" s="14"/>
      <c r="AF27" s="452">
        <v>18</v>
      </c>
      <c r="AG27" s="1182"/>
      <c r="AH27" s="503" t="s">
        <v>1312</v>
      </c>
      <c r="AI27" s="806">
        <f>ROUNDDOWN(AI28*0.75,2)</f>
        <v>270</v>
      </c>
      <c r="AJ27" s="15"/>
      <c r="AK27" s="16"/>
      <c r="AL27" s="25"/>
      <c r="AO27" s="14"/>
      <c r="AP27" s="452">
        <v>18</v>
      </c>
      <c r="AQ27" s="1182"/>
      <c r="AR27" s="503" t="s">
        <v>1312</v>
      </c>
      <c r="AS27" s="809">
        <f t="shared" si="0"/>
        <v>336.26</v>
      </c>
      <c r="AT27" s="806">
        <f>ROUNDDOWN(AT28*0.75,2)</f>
        <v>7.57</v>
      </c>
      <c r="AU27" s="15"/>
      <c r="AV27" s="16"/>
      <c r="AW27" s="44"/>
      <c r="AX27" s="25"/>
      <c r="AZ27" s="14"/>
      <c r="BA27" s="452">
        <v>18</v>
      </c>
      <c r="BB27" s="1215"/>
      <c r="BC27" s="503" t="s">
        <v>1312</v>
      </c>
      <c r="BD27" s="809">
        <f t="shared" si="1"/>
        <v>336.26</v>
      </c>
      <c r="BE27" s="806">
        <f>ROUNDDOWN(BE28*0.75,2)</f>
        <v>104.62</v>
      </c>
      <c r="BF27" s="18"/>
      <c r="BG27" s="34"/>
      <c r="BJ27" s="14"/>
      <c r="BK27" s="15"/>
      <c r="BL27" s="111"/>
      <c r="BM27" s="111"/>
      <c r="BN27" s="111"/>
      <c r="BO27" s="111"/>
      <c r="BP27" s="111"/>
      <c r="BQ27" s="15"/>
      <c r="BR27" s="34"/>
      <c r="BS27" s="27"/>
      <c r="BT27" s="38"/>
      <c r="BU27" s="475">
        <v>18</v>
      </c>
      <c r="BV27" s="1181" t="s">
        <v>180</v>
      </c>
      <c r="BW27" s="472" t="s">
        <v>1312</v>
      </c>
      <c r="BX27" s="812">
        <f>S33</f>
        <v>370.31</v>
      </c>
      <c r="BY27" s="30"/>
      <c r="BZ27" s="23"/>
      <c r="CA27" s="29"/>
      <c r="CC27" s="16"/>
      <c r="CE27" s="66" t="s">
        <v>718</v>
      </c>
      <c r="CF27" s="65">
        <f t="shared" si="2"/>
        <v>370.31</v>
      </c>
      <c r="CH27" s="14"/>
      <c r="CI27" s="488">
        <v>18</v>
      </c>
      <c r="CJ27" s="1191" t="s">
        <v>180</v>
      </c>
      <c r="CK27" s="505" t="s">
        <v>1312</v>
      </c>
      <c r="CL27" s="817">
        <f t="shared" si="3"/>
        <v>370.31</v>
      </c>
      <c r="CM27" s="819">
        <f>CM21</f>
        <v>7.57</v>
      </c>
      <c r="CN27" s="30"/>
      <c r="CO27" s="23"/>
      <c r="CP27" s="29"/>
      <c r="CR27" s="16"/>
      <c r="CU27" s="14"/>
      <c r="CV27" s="488">
        <v>18</v>
      </c>
      <c r="CW27" s="1191" t="s">
        <v>180</v>
      </c>
      <c r="CX27" s="505" t="s">
        <v>1312</v>
      </c>
      <c r="CY27" s="817">
        <f t="shared" si="4"/>
        <v>370.31</v>
      </c>
      <c r="CZ27" s="819">
        <f>CZ23</f>
        <v>104.62</v>
      </c>
      <c r="DA27" s="30"/>
      <c r="DB27" s="23"/>
      <c r="DC27" s="29"/>
      <c r="DE27" s="16"/>
      <c r="DH27" s="14"/>
      <c r="DJ27" s="452">
        <v>18</v>
      </c>
      <c r="DK27" s="462" t="s">
        <v>40</v>
      </c>
      <c r="DL27" s="482">
        <v>30</v>
      </c>
      <c r="DM27" s="819">
        <f>X19</f>
        <v>2653.88</v>
      </c>
      <c r="DN27" s="961">
        <f>ROUNDDOWN(DN28*0.75,2)</f>
        <v>0</v>
      </c>
      <c r="DO27" s="491"/>
      <c r="DQ27" s="16"/>
      <c r="DT27" s="14"/>
      <c r="DU27" s="18"/>
      <c r="EB27" s="24"/>
      <c r="EC27" s="16"/>
      <c r="EE27" s="66" t="s">
        <v>716</v>
      </c>
      <c r="EF27" s="65">
        <f t="shared" si="9"/>
        <v>0</v>
      </c>
      <c r="EH27" s="349"/>
      <c r="EI27" s="353"/>
      <c r="EJ27" s="131"/>
      <c r="EK27" s="318"/>
      <c r="EL27" s="29"/>
      <c r="EM27" s="352"/>
      <c r="EN27" s="323"/>
      <c r="EO27" s="323"/>
      <c r="EP27" s="323"/>
      <c r="EQ27" s="323"/>
      <c r="ER27" s="350"/>
    </row>
    <row r="28" spans="4:148" ht="12.75" customHeight="1">
      <c r="D28" s="284"/>
      <c r="G28" s="87"/>
      <c r="H28" s="87"/>
      <c r="I28" s="87"/>
      <c r="J28" s="87"/>
      <c r="L28" s="66" t="s">
        <v>718</v>
      </c>
      <c r="M28" s="65">
        <f t="shared" si="5"/>
        <v>336.26</v>
      </c>
      <c r="N28" s="44"/>
      <c r="O28" s="14"/>
      <c r="P28" s="1024">
        <v>19</v>
      </c>
      <c r="Q28" s="1202"/>
      <c r="R28" s="474" t="s">
        <v>198</v>
      </c>
      <c r="S28" s="1023">
        <f>VLOOKUP("TV GERAL 06 40H",RHE,10,FALSE)</f>
        <v>448.35</v>
      </c>
      <c r="T28" s="24"/>
      <c r="U28" s="452">
        <v>66</v>
      </c>
      <c r="V28" s="1182"/>
      <c r="W28" s="450" t="s">
        <v>1312</v>
      </c>
      <c r="X28" s="806">
        <f>ROUNDDOWN(X29*0.75,2)</f>
        <v>3072.2</v>
      </c>
      <c r="Y28" s="15"/>
      <c r="Z28" s="16"/>
      <c r="AA28" s="18"/>
      <c r="AB28" s="66" t="s">
        <v>1446</v>
      </c>
      <c r="AC28" s="65">
        <f t="shared" si="6"/>
        <v>360</v>
      </c>
      <c r="AE28" s="14"/>
      <c r="AF28" s="483">
        <v>19</v>
      </c>
      <c r="AG28" s="1192"/>
      <c r="AH28" s="507" t="s">
        <v>198</v>
      </c>
      <c r="AI28" s="807">
        <f>VLOOKUP("TV GERAL 06 40H",RHE,18,FALSE)</f>
        <v>360</v>
      </c>
      <c r="AJ28" s="15"/>
      <c r="AK28" s="16"/>
      <c r="AL28" s="25"/>
      <c r="AO28" s="14"/>
      <c r="AP28" s="483">
        <v>19</v>
      </c>
      <c r="AQ28" s="1192"/>
      <c r="AR28" s="507" t="s">
        <v>198</v>
      </c>
      <c r="AS28" s="816">
        <f t="shared" si="0"/>
        <v>448.35</v>
      </c>
      <c r="AT28" s="818">
        <f>VLOOKUP("TV GERAL 06 40H",RHE,12,FALSE)</f>
        <v>10.1</v>
      </c>
      <c r="AU28" s="15"/>
      <c r="AV28" s="16"/>
      <c r="AW28" s="44"/>
      <c r="AX28" s="25"/>
      <c r="AZ28" s="14"/>
      <c r="BA28" s="483">
        <v>19</v>
      </c>
      <c r="BB28" s="1215"/>
      <c r="BC28" s="507" t="s">
        <v>198</v>
      </c>
      <c r="BD28" s="816">
        <f t="shared" si="1"/>
        <v>448.35</v>
      </c>
      <c r="BE28" s="818">
        <f>VLOOKUP("TV GERAL 06 40H",RHE,14,FALSE)</f>
        <v>139.5</v>
      </c>
      <c r="BF28" s="18"/>
      <c r="BG28" s="34"/>
      <c r="BJ28" s="14"/>
      <c r="BK28" s="15"/>
      <c r="BL28" s="15"/>
      <c r="BM28" s="15"/>
      <c r="BN28" s="15"/>
      <c r="BO28" s="15"/>
      <c r="BP28" s="15"/>
      <c r="BQ28" s="15"/>
      <c r="BR28" s="34"/>
      <c r="BS28" s="27"/>
      <c r="BT28" s="38"/>
      <c r="BU28" s="477">
        <v>19</v>
      </c>
      <c r="BV28" s="1202"/>
      <c r="BW28" s="474" t="s">
        <v>198</v>
      </c>
      <c r="BX28" s="807">
        <f>S34</f>
        <v>493.75</v>
      </c>
      <c r="BY28" s="30"/>
      <c r="BZ28" s="23"/>
      <c r="CC28" s="16"/>
      <c r="CE28" s="66" t="s">
        <v>719</v>
      </c>
      <c r="CF28" s="65">
        <f t="shared" si="2"/>
        <v>493.75</v>
      </c>
      <c r="CH28" s="14"/>
      <c r="CI28" s="483">
        <v>19</v>
      </c>
      <c r="CJ28" s="1202"/>
      <c r="CK28" s="504" t="s">
        <v>198</v>
      </c>
      <c r="CL28" s="816">
        <f t="shared" si="3"/>
        <v>493.75</v>
      </c>
      <c r="CM28" s="818">
        <f>CM22</f>
        <v>10.1</v>
      </c>
      <c r="CN28" s="30"/>
      <c r="CO28" s="23"/>
      <c r="CR28" s="16"/>
      <c r="CU28" s="14"/>
      <c r="CV28" s="483">
        <v>19</v>
      </c>
      <c r="CW28" s="1202"/>
      <c r="CX28" s="504" t="s">
        <v>198</v>
      </c>
      <c r="CY28" s="816">
        <f t="shared" si="4"/>
        <v>493.75</v>
      </c>
      <c r="CZ28" s="818">
        <f>CZ24</f>
        <v>139.5</v>
      </c>
      <c r="DA28" s="30"/>
      <c r="DB28" s="23"/>
      <c r="DE28" s="16"/>
      <c r="DH28" s="14"/>
      <c r="DJ28" s="452">
        <v>19</v>
      </c>
      <c r="DK28" s="462" t="s">
        <v>41</v>
      </c>
      <c r="DL28" s="482">
        <v>40</v>
      </c>
      <c r="DM28" s="806">
        <f>X20</f>
        <v>3538.51</v>
      </c>
      <c r="DN28" s="961">
        <f>Y20</f>
        <v>0</v>
      </c>
      <c r="DO28" s="491"/>
      <c r="DQ28" s="16"/>
      <c r="DT28" s="14"/>
      <c r="DU28" s="18"/>
      <c r="DV28" s="31"/>
      <c r="DW28" s="31"/>
      <c r="DX28" s="31"/>
      <c r="DY28" s="31"/>
      <c r="DZ28" s="31"/>
      <c r="EA28" s="31"/>
      <c r="EB28" s="24"/>
      <c r="EC28" s="16"/>
      <c r="EE28" s="66" t="s">
        <v>717</v>
      </c>
      <c r="EF28" s="65">
        <f t="shared" si="9"/>
        <v>0</v>
      </c>
      <c r="EH28" s="349"/>
      <c r="EI28" s="353"/>
      <c r="EJ28" s="131"/>
      <c r="EK28" s="318"/>
      <c r="EL28" s="29"/>
      <c r="EM28" s="352"/>
      <c r="EN28" s="323"/>
      <c r="EO28" s="323"/>
      <c r="EP28" s="323"/>
      <c r="EQ28" s="323"/>
      <c r="ER28" s="350"/>
    </row>
    <row r="29" spans="4:148" ht="12.75" customHeight="1">
      <c r="D29" s="284"/>
      <c r="G29" s="87"/>
      <c r="H29" s="87"/>
      <c r="I29" s="87"/>
      <c r="J29" s="87"/>
      <c r="L29" s="66" t="s">
        <v>719</v>
      </c>
      <c r="M29" s="65">
        <f t="shared" si="5"/>
        <v>448.35</v>
      </c>
      <c r="N29" s="44"/>
      <c r="O29" s="14"/>
      <c r="P29" s="475">
        <v>20</v>
      </c>
      <c r="Q29" s="1181" t="s">
        <v>157</v>
      </c>
      <c r="R29" s="472" t="s">
        <v>1302</v>
      </c>
      <c r="S29" s="806">
        <f>ROUNDDOWN(S31*0.5,2)</f>
        <v>235.17</v>
      </c>
      <c r="T29" s="23"/>
      <c r="U29" s="1025">
        <v>67</v>
      </c>
      <c r="V29" s="1183"/>
      <c r="W29" s="454" t="s">
        <v>198</v>
      </c>
      <c r="X29" s="1026">
        <f>VLOOKUP("TV TEC CIENTIFICO 06 40H",RHE,10,FALSE)</f>
        <v>4096.27</v>
      </c>
      <c r="Y29" s="30"/>
      <c r="Z29" s="16"/>
      <c r="AA29" s="18"/>
      <c r="AB29" s="66" t="s">
        <v>1447</v>
      </c>
      <c r="AC29" s="65">
        <f t="shared" si="6"/>
        <v>175</v>
      </c>
      <c r="AE29" s="14"/>
      <c r="AF29" s="488">
        <v>20</v>
      </c>
      <c r="AG29" s="1191" t="s">
        <v>157</v>
      </c>
      <c r="AH29" s="509" t="s">
        <v>1302</v>
      </c>
      <c r="AI29" s="819">
        <f>ROUNDDOWN(AI31*0.5,2)</f>
        <v>175</v>
      </c>
      <c r="AJ29" s="15"/>
      <c r="AK29" s="16"/>
      <c r="AL29" s="25"/>
      <c r="AO29" s="14"/>
      <c r="AP29" s="488">
        <v>20</v>
      </c>
      <c r="AQ29" s="1191" t="s">
        <v>157</v>
      </c>
      <c r="AR29" s="509" t="s">
        <v>1302</v>
      </c>
      <c r="AS29" s="817">
        <f t="shared" si="0"/>
        <v>235.17</v>
      </c>
      <c r="AT29" s="819">
        <f>ROUNDDOWN(AT31*0.5,2)</f>
        <v>5.05</v>
      </c>
      <c r="AU29" s="15"/>
      <c r="AV29" s="16"/>
      <c r="AW29" s="44"/>
      <c r="AX29" s="25"/>
      <c r="AZ29" s="14"/>
      <c r="BA29" s="488">
        <v>20</v>
      </c>
      <c r="BB29" s="1215" t="s">
        <v>157</v>
      </c>
      <c r="BC29" s="509" t="s">
        <v>1302</v>
      </c>
      <c r="BD29" s="817">
        <f t="shared" si="1"/>
        <v>235.17</v>
      </c>
      <c r="BE29" s="819">
        <f>ROUNDDOWN(BE31*0.5,2)</f>
        <v>69.75</v>
      </c>
      <c r="BF29" s="18"/>
      <c r="BG29" s="34"/>
      <c r="BJ29" s="14"/>
      <c r="BK29" s="15"/>
      <c r="BL29" s="15"/>
      <c r="BM29" s="15"/>
      <c r="BN29" s="15"/>
      <c r="BO29" s="15"/>
      <c r="BP29" s="15"/>
      <c r="BQ29" s="15"/>
      <c r="BR29" s="34"/>
      <c r="BS29" s="27"/>
      <c r="BT29" s="38"/>
      <c r="BU29" s="475">
        <v>20</v>
      </c>
      <c r="BV29" s="1181" t="s">
        <v>181</v>
      </c>
      <c r="BW29" s="472" t="s">
        <v>1312</v>
      </c>
      <c r="BX29" s="812">
        <f>S36</f>
        <v>389.01</v>
      </c>
      <c r="BY29" s="30"/>
      <c r="BZ29" s="24"/>
      <c r="CC29" s="16"/>
      <c r="CE29" s="66" t="s">
        <v>720</v>
      </c>
      <c r="CF29" s="65">
        <f t="shared" si="2"/>
        <v>389.01</v>
      </c>
      <c r="CH29" s="14"/>
      <c r="CI29" s="488">
        <v>20</v>
      </c>
      <c r="CJ29" s="1191" t="s">
        <v>181</v>
      </c>
      <c r="CK29" s="505" t="s">
        <v>1312</v>
      </c>
      <c r="CL29" s="817">
        <f t="shared" si="3"/>
        <v>389.01</v>
      </c>
      <c r="CM29" s="819">
        <f>AT36</f>
        <v>8.7</v>
      </c>
      <c r="CN29" s="30"/>
      <c r="CO29" s="23"/>
      <c r="CR29" s="16"/>
      <c r="CU29" s="14"/>
      <c r="CV29" s="488">
        <v>20</v>
      </c>
      <c r="CW29" s="1191" t="s">
        <v>181</v>
      </c>
      <c r="CX29" s="505" t="s">
        <v>1312</v>
      </c>
      <c r="CY29" s="817">
        <f t="shared" si="4"/>
        <v>389.01</v>
      </c>
      <c r="CZ29" s="819">
        <f>CZ23</f>
        <v>104.62</v>
      </c>
      <c r="DA29" s="30"/>
      <c r="DB29" s="23"/>
      <c r="DE29" s="16"/>
      <c r="DH29" s="14"/>
      <c r="DJ29" s="452" t="s">
        <v>1302</v>
      </c>
      <c r="DK29" s="773" t="s">
        <v>755</v>
      </c>
      <c r="DL29" s="482">
        <v>40</v>
      </c>
      <c r="DM29" s="819">
        <f>'16'!J$15*(1+'16'!L$20/100)</f>
        <v>3186.2866</v>
      </c>
      <c r="DN29" s="491"/>
      <c r="DO29" s="492"/>
      <c r="DQ29" s="16"/>
      <c r="DT29" s="14"/>
      <c r="DU29" s="18"/>
      <c r="DV29" s="111"/>
      <c r="DW29" s="111"/>
      <c r="DX29" s="111"/>
      <c r="DY29" s="111"/>
      <c r="DZ29" s="111"/>
      <c r="EA29" s="111"/>
      <c r="EB29" s="24"/>
      <c r="EC29" s="16"/>
      <c r="EE29" s="66" t="s">
        <v>718</v>
      </c>
      <c r="EF29" s="65">
        <f t="shared" si="9"/>
        <v>0</v>
      </c>
      <c r="EH29" s="349"/>
      <c r="EI29" s="353"/>
      <c r="EJ29" s="131"/>
      <c r="EK29" s="318"/>
      <c r="EL29" s="29"/>
      <c r="EM29" s="23"/>
      <c r="EN29" s="323"/>
      <c r="EO29" s="323"/>
      <c r="EP29" s="323"/>
      <c r="EQ29" s="323"/>
      <c r="ER29" s="350"/>
    </row>
    <row r="30" spans="4:148" ht="12.75">
      <c r="D30" s="284"/>
      <c r="G30" s="87"/>
      <c r="H30" s="87"/>
      <c r="I30" s="87"/>
      <c r="J30" s="87"/>
      <c r="L30" s="66" t="s">
        <v>720</v>
      </c>
      <c r="M30" s="65">
        <f t="shared" si="5"/>
        <v>235.17</v>
      </c>
      <c r="N30" s="44"/>
      <c r="O30" s="14"/>
      <c r="P30" s="452">
        <v>21</v>
      </c>
      <c r="Q30" s="1182"/>
      <c r="R30" s="450" t="s">
        <v>1312</v>
      </c>
      <c r="S30" s="806">
        <f>ROUNDDOWN(S31*0.75,2)</f>
        <v>352.76</v>
      </c>
      <c r="T30" s="23"/>
      <c r="Y30" s="30"/>
      <c r="Z30" s="16"/>
      <c r="AA30" s="18"/>
      <c r="AB30" s="66" t="s">
        <v>1448</v>
      </c>
      <c r="AC30" s="65">
        <f t="shared" si="6"/>
        <v>262.5</v>
      </c>
      <c r="AE30" s="14"/>
      <c r="AF30" s="452">
        <v>21</v>
      </c>
      <c r="AG30" s="1182"/>
      <c r="AH30" s="503" t="s">
        <v>1312</v>
      </c>
      <c r="AI30" s="806">
        <f>ROUNDDOWN(AI31*0.75,2)</f>
        <v>262.5</v>
      </c>
      <c r="AJ30" s="15"/>
      <c r="AK30" s="16"/>
      <c r="AL30" s="25"/>
      <c r="AO30" s="14"/>
      <c r="AP30" s="452">
        <v>21</v>
      </c>
      <c r="AQ30" s="1182"/>
      <c r="AR30" s="503" t="s">
        <v>1312</v>
      </c>
      <c r="AS30" s="809">
        <f t="shared" si="0"/>
        <v>352.76</v>
      </c>
      <c r="AT30" s="806">
        <f>ROUNDDOWN(AT31*0.75,2)</f>
        <v>7.57</v>
      </c>
      <c r="AU30" s="15"/>
      <c r="AV30" s="16"/>
      <c r="AW30" s="44"/>
      <c r="AX30" s="25"/>
      <c r="AZ30" s="14"/>
      <c r="BA30" s="452">
        <v>21</v>
      </c>
      <c r="BB30" s="1215"/>
      <c r="BC30" s="503" t="s">
        <v>1312</v>
      </c>
      <c r="BD30" s="809">
        <f t="shared" si="1"/>
        <v>352.76</v>
      </c>
      <c r="BE30" s="806">
        <f>ROUNDDOWN(BE31*0.75,2)</f>
        <v>104.62</v>
      </c>
      <c r="BF30" s="18"/>
      <c r="BG30" s="34"/>
      <c r="BJ30" s="14"/>
      <c r="BK30" s="15"/>
      <c r="BL30" s="15"/>
      <c r="BM30" s="15"/>
      <c r="BN30" s="15"/>
      <c r="BO30" s="15"/>
      <c r="BP30" s="15"/>
      <c r="BQ30" s="15"/>
      <c r="BR30" s="34"/>
      <c r="BS30" s="27"/>
      <c r="BT30" s="38"/>
      <c r="BU30" s="477">
        <v>21</v>
      </c>
      <c r="BV30" s="1202"/>
      <c r="BW30" s="474" t="s">
        <v>198</v>
      </c>
      <c r="BX30" s="807">
        <f>S37</f>
        <v>518.68</v>
      </c>
      <c r="BY30" s="30"/>
      <c r="BZ30" s="23"/>
      <c r="CA30" s="46" t="s">
        <v>36</v>
      </c>
      <c r="CB30" s="45"/>
      <c r="CC30" s="16"/>
      <c r="CE30" s="66" t="s">
        <v>870</v>
      </c>
      <c r="CF30" s="65">
        <f t="shared" si="2"/>
        <v>518.68</v>
      </c>
      <c r="CH30" s="14"/>
      <c r="CI30" s="483">
        <v>21</v>
      </c>
      <c r="CJ30" s="1202"/>
      <c r="CK30" s="504" t="s">
        <v>198</v>
      </c>
      <c r="CL30" s="816">
        <f t="shared" si="3"/>
        <v>518.68</v>
      </c>
      <c r="CM30" s="818">
        <f>SUS03</f>
        <v>11.6</v>
      </c>
      <c r="CN30" s="30"/>
      <c r="CO30" s="23"/>
      <c r="CP30" s="46" t="s">
        <v>36</v>
      </c>
      <c r="CQ30" s="45"/>
      <c r="CR30" s="16"/>
      <c r="CU30" s="14"/>
      <c r="CV30" s="483">
        <v>21</v>
      </c>
      <c r="CW30" s="1202"/>
      <c r="CX30" s="504" t="s">
        <v>198</v>
      </c>
      <c r="CY30" s="816">
        <f t="shared" si="4"/>
        <v>518.68</v>
      </c>
      <c r="CZ30" s="818">
        <f>CZ24</f>
        <v>139.5</v>
      </c>
      <c r="DA30" s="30"/>
      <c r="DB30" s="23"/>
      <c r="DC30" s="46" t="s">
        <v>36</v>
      </c>
      <c r="DD30" s="45"/>
      <c r="DE30" s="16"/>
      <c r="DH30" s="14"/>
      <c r="DJ30" s="477">
        <v>21</v>
      </c>
      <c r="DK30" s="774" t="s">
        <v>756</v>
      </c>
      <c r="DL30" s="775">
        <v>40</v>
      </c>
      <c r="DM30" s="806">
        <f>DM29</f>
        <v>3186.2866</v>
      </c>
      <c r="DN30" s="491"/>
      <c r="DQ30" s="16"/>
      <c r="DT30" s="14"/>
      <c r="DU30" s="18"/>
      <c r="EB30" s="24"/>
      <c r="EC30" s="16"/>
      <c r="EE30" s="66" t="s">
        <v>719</v>
      </c>
      <c r="EF30" s="65">
        <f t="shared" si="9"/>
        <v>0</v>
      </c>
      <c r="EH30" s="349"/>
      <c r="EI30" s="353"/>
      <c r="EJ30" s="131"/>
      <c r="EK30" s="318"/>
      <c r="EL30" s="29"/>
      <c r="EM30" s="23"/>
      <c r="EN30" s="323"/>
      <c r="EO30" s="323"/>
      <c r="EP30" s="323"/>
      <c r="EQ30" s="323"/>
      <c r="ER30" s="350"/>
    </row>
    <row r="31" spans="4:148" ht="12.75">
      <c r="D31" s="284"/>
      <c r="G31" s="87"/>
      <c r="H31" s="87"/>
      <c r="I31" s="87"/>
      <c r="J31" s="87"/>
      <c r="L31" s="66" t="s">
        <v>870</v>
      </c>
      <c r="M31" s="65">
        <f t="shared" si="5"/>
        <v>352.76</v>
      </c>
      <c r="N31" s="44"/>
      <c r="O31" s="14"/>
      <c r="P31" s="1027">
        <v>22</v>
      </c>
      <c r="Q31" s="1202"/>
      <c r="R31" s="474" t="s">
        <v>198</v>
      </c>
      <c r="S31" s="1023">
        <f>VLOOKUP("TV GERAL 07 40H",RHE,10,FALSE)</f>
        <v>470.35</v>
      </c>
      <c r="T31" s="23"/>
      <c r="Y31" s="30"/>
      <c r="Z31" s="16"/>
      <c r="AA31" s="18"/>
      <c r="AB31" s="66" t="s">
        <v>1449</v>
      </c>
      <c r="AC31" s="65">
        <f t="shared" si="6"/>
        <v>350</v>
      </c>
      <c r="AE31" s="14"/>
      <c r="AF31" s="483">
        <v>22</v>
      </c>
      <c r="AG31" s="1192"/>
      <c r="AH31" s="507" t="s">
        <v>198</v>
      </c>
      <c r="AI31" s="807">
        <f>VLOOKUP("TV GERAL 07 40H",RHE,18,FALSE)</f>
        <v>350</v>
      </c>
      <c r="AJ31" s="15"/>
      <c r="AK31" s="16"/>
      <c r="AL31" s="25"/>
      <c r="AO31" s="14"/>
      <c r="AP31" s="483">
        <v>22</v>
      </c>
      <c r="AQ31" s="1192"/>
      <c r="AR31" s="507" t="s">
        <v>198</v>
      </c>
      <c r="AS31" s="816">
        <f t="shared" si="0"/>
        <v>470.35</v>
      </c>
      <c r="AT31" s="818">
        <f>VLOOKUP("TV GERAL 07 40H",RHE,12,FALSE)</f>
        <v>10.1</v>
      </c>
      <c r="AU31" s="15"/>
      <c r="AV31" s="16"/>
      <c r="AW31" s="44"/>
      <c r="AX31" s="25"/>
      <c r="AZ31" s="14"/>
      <c r="BA31" s="483">
        <v>22</v>
      </c>
      <c r="BB31" s="1215"/>
      <c r="BC31" s="507" t="s">
        <v>198</v>
      </c>
      <c r="BD31" s="816">
        <f t="shared" si="1"/>
        <v>470.35</v>
      </c>
      <c r="BE31" s="818">
        <f>VLOOKUP("TV GERAL 07 40H",RHE,14,FALSE)</f>
        <v>139.5</v>
      </c>
      <c r="BF31" s="18"/>
      <c r="BG31" s="34"/>
      <c r="BJ31" s="14"/>
      <c r="BK31" s="15"/>
      <c r="BL31" s="15"/>
      <c r="BM31" s="15"/>
      <c r="BN31" s="15"/>
      <c r="BO31" s="15"/>
      <c r="BP31" s="15"/>
      <c r="BQ31" s="15"/>
      <c r="BR31" s="34"/>
      <c r="BS31" s="27"/>
      <c r="BT31" s="38"/>
      <c r="BU31" s="475">
        <v>22</v>
      </c>
      <c r="BV31" s="1181" t="s">
        <v>182</v>
      </c>
      <c r="BW31" s="472" t="s">
        <v>1312</v>
      </c>
      <c r="BX31" s="812">
        <f>S39</f>
        <v>408.75</v>
      </c>
      <c r="BY31" s="30"/>
      <c r="BZ31" s="24"/>
      <c r="CA31" s="15"/>
      <c r="CB31" s="15"/>
      <c r="CC31" s="16"/>
      <c r="CE31" s="66" t="s">
        <v>871</v>
      </c>
      <c r="CF31" s="65">
        <f t="shared" si="2"/>
        <v>408.75</v>
      </c>
      <c r="CH31" s="14"/>
      <c r="CI31" s="488">
        <v>22</v>
      </c>
      <c r="CJ31" s="1191" t="s">
        <v>182</v>
      </c>
      <c r="CK31" s="505" t="s">
        <v>1312</v>
      </c>
      <c r="CL31" s="817">
        <f t="shared" si="3"/>
        <v>408.75</v>
      </c>
      <c r="CM31" s="819">
        <f>CM29</f>
        <v>8.7</v>
      </c>
      <c r="CN31" s="30"/>
      <c r="CO31" s="23"/>
      <c r="CP31" s="15"/>
      <c r="CQ31" s="15"/>
      <c r="CR31" s="16"/>
      <c r="CU31" s="14"/>
      <c r="CV31" s="488">
        <v>22</v>
      </c>
      <c r="CW31" s="1191" t="s">
        <v>182</v>
      </c>
      <c r="CX31" s="505" t="s">
        <v>1312</v>
      </c>
      <c r="CY31" s="817">
        <f t="shared" si="4"/>
        <v>408.75</v>
      </c>
      <c r="CZ31" s="819">
        <f>CZ23</f>
        <v>104.62</v>
      </c>
      <c r="DA31" s="30"/>
      <c r="DB31" s="23"/>
      <c r="DC31" s="15"/>
      <c r="DD31" s="15"/>
      <c r="DE31" s="16"/>
      <c r="DH31" s="14"/>
      <c r="DJ31" s="486">
        <v>46</v>
      </c>
      <c r="DK31" s="487" t="s">
        <v>42</v>
      </c>
      <c r="DL31" s="776">
        <v>40</v>
      </c>
      <c r="DM31" s="868">
        <f>AS55</f>
        <v>702.6</v>
      </c>
      <c r="DN31" s="492"/>
      <c r="DQ31" s="16"/>
      <c r="DT31" s="14"/>
      <c r="DU31" s="18"/>
      <c r="DV31" s="15"/>
      <c r="DW31" s="15"/>
      <c r="DX31" s="15"/>
      <c r="DY31" s="18"/>
      <c r="DZ31" s="18"/>
      <c r="EA31" s="18"/>
      <c r="EB31" s="24"/>
      <c r="EC31" s="16"/>
      <c r="EE31" s="66" t="s">
        <v>720</v>
      </c>
      <c r="EF31" s="65">
        <f t="shared" si="9"/>
        <v>0</v>
      </c>
      <c r="EH31" s="349"/>
      <c r="EI31" s="353"/>
      <c r="EJ31" s="131"/>
      <c r="EK31" s="318"/>
      <c r="EL31" s="29"/>
      <c r="EM31" s="23"/>
      <c r="EN31" s="323"/>
      <c r="EO31" s="323"/>
      <c r="EP31" s="323"/>
      <c r="EQ31" s="323"/>
      <c r="ER31" s="350"/>
    </row>
    <row r="32" spans="2:148" ht="12.75">
      <c r="B32" s="790"/>
      <c r="D32" s="284"/>
      <c r="G32" s="87"/>
      <c r="H32" s="87"/>
      <c r="I32" s="87"/>
      <c r="J32" s="87"/>
      <c r="L32" s="66" t="s">
        <v>871</v>
      </c>
      <c r="M32" s="65">
        <f t="shared" si="5"/>
        <v>470.35</v>
      </c>
      <c r="N32" s="44"/>
      <c r="O32" s="14"/>
      <c r="P32" s="452">
        <v>23</v>
      </c>
      <c r="Q32" s="1181" t="s">
        <v>158</v>
      </c>
      <c r="R32" s="472" t="s">
        <v>1302</v>
      </c>
      <c r="S32" s="806">
        <f>ROUNDDOWN(S34*0.5,2)</f>
        <v>246.87</v>
      </c>
      <c r="T32" s="23"/>
      <c r="Y32" s="30"/>
      <c r="Z32" s="16"/>
      <c r="AA32" s="18"/>
      <c r="AB32" s="66" t="s">
        <v>1450</v>
      </c>
      <c r="AC32" s="65">
        <f t="shared" si="6"/>
        <v>170</v>
      </c>
      <c r="AE32" s="14"/>
      <c r="AF32" s="488">
        <v>23</v>
      </c>
      <c r="AG32" s="1191" t="s">
        <v>158</v>
      </c>
      <c r="AH32" s="509" t="s">
        <v>1302</v>
      </c>
      <c r="AI32" s="819">
        <f>ROUNDDOWN(AI34*0.5,2)</f>
        <v>170</v>
      </c>
      <c r="AJ32" s="15"/>
      <c r="AK32" s="16"/>
      <c r="AL32" s="25"/>
      <c r="AO32" s="14"/>
      <c r="AP32" s="488">
        <v>23</v>
      </c>
      <c r="AQ32" s="1191" t="s">
        <v>158</v>
      </c>
      <c r="AR32" s="509" t="s">
        <v>1302</v>
      </c>
      <c r="AS32" s="817">
        <f t="shared" si="0"/>
        <v>246.87</v>
      </c>
      <c r="AT32" s="819">
        <f>ROUNDDOWN(AT34*0.5,2)</f>
        <v>5.05</v>
      </c>
      <c r="AU32" s="15"/>
      <c r="AV32" s="16"/>
      <c r="AW32" s="44"/>
      <c r="AX32" s="25"/>
      <c r="AZ32" s="14"/>
      <c r="BA32" s="488">
        <v>23</v>
      </c>
      <c r="BB32" s="1215" t="s">
        <v>158</v>
      </c>
      <c r="BC32" s="509" t="s">
        <v>1302</v>
      </c>
      <c r="BD32" s="817">
        <f t="shared" si="1"/>
        <v>246.87</v>
      </c>
      <c r="BE32" s="819">
        <f>ROUNDDOWN(BE34*0.5,2)</f>
        <v>69.75</v>
      </c>
      <c r="BF32" s="18"/>
      <c r="BG32" s="34"/>
      <c r="BJ32" s="14"/>
      <c r="BK32" s="15"/>
      <c r="BL32" s="15"/>
      <c r="BM32" s="15"/>
      <c r="BN32" s="15"/>
      <c r="BO32" s="15"/>
      <c r="BP32" s="15"/>
      <c r="BQ32" s="15"/>
      <c r="BR32" s="34"/>
      <c r="BS32" s="27"/>
      <c r="BT32" s="38"/>
      <c r="BU32" s="477">
        <v>23</v>
      </c>
      <c r="BV32" s="1202"/>
      <c r="BW32" s="474" t="s">
        <v>198</v>
      </c>
      <c r="BX32" s="807">
        <f>S40</f>
        <v>545.01</v>
      </c>
      <c r="BY32" s="30"/>
      <c r="BZ32" s="23"/>
      <c r="CA32" s="103" t="str">
        <f>"Até R$ "&amp;TEXT(BASE_PREV,"0,00")</f>
        <v>Até R$ 500,39</v>
      </c>
      <c r="CB32" s="833">
        <v>25.66</v>
      </c>
      <c r="CC32" s="16"/>
      <c r="CE32" s="66" t="s">
        <v>879</v>
      </c>
      <c r="CF32" s="65">
        <f t="shared" si="2"/>
        <v>545.01</v>
      </c>
      <c r="CH32" s="14"/>
      <c r="CI32" s="483">
        <v>23</v>
      </c>
      <c r="CJ32" s="1202"/>
      <c r="CK32" s="504" t="s">
        <v>198</v>
      </c>
      <c r="CL32" s="816">
        <f t="shared" si="3"/>
        <v>545.01</v>
      </c>
      <c r="CM32" s="818">
        <f>CM30</f>
        <v>11.6</v>
      </c>
      <c r="CN32" s="30"/>
      <c r="CO32" s="23"/>
      <c r="CP32" s="103" t="str">
        <f>"Até R$ "&amp;TEXT(BASE_PREV,"0,00")</f>
        <v>Até R$ 500,39</v>
      </c>
      <c r="CQ32" s="851">
        <f>CB32</f>
        <v>25.66</v>
      </c>
      <c r="CR32" s="16"/>
      <c r="CU32" s="14"/>
      <c r="CV32" s="483">
        <v>23</v>
      </c>
      <c r="CW32" s="1202"/>
      <c r="CX32" s="504" t="s">
        <v>198</v>
      </c>
      <c r="CY32" s="816">
        <f t="shared" si="4"/>
        <v>545.01</v>
      </c>
      <c r="CZ32" s="818">
        <f>CZ24</f>
        <v>139.5</v>
      </c>
      <c r="DA32" s="30"/>
      <c r="DB32" s="23"/>
      <c r="DC32" s="103" t="str">
        <f>"Até R$ "&amp;TEXT(BASE_PREV,"0,00")</f>
        <v>Até R$ 500,39</v>
      </c>
      <c r="DD32" s="851">
        <f>CB32</f>
        <v>25.66</v>
      </c>
      <c r="DE32" s="16"/>
      <c r="DH32" s="14"/>
      <c r="DI32" s="61"/>
      <c r="DQ32" s="16"/>
      <c r="DT32" s="14"/>
      <c r="DU32" s="18"/>
      <c r="EB32" s="24"/>
      <c r="EC32" s="16"/>
      <c r="EE32" s="66" t="s">
        <v>870</v>
      </c>
      <c r="EF32" s="65">
        <f t="shared" si="9"/>
        <v>0</v>
      </c>
      <c r="EH32" s="349"/>
      <c r="EI32" s="353"/>
      <c r="EJ32" s="131"/>
      <c r="EK32" s="318"/>
      <c r="EL32" s="29"/>
      <c r="EM32" s="23"/>
      <c r="EN32" s="323"/>
      <c r="EO32" s="323"/>
      <c r="EP32" s="323"/>
      <c r="EQ32" s="323"/>
      <c r="ER32" s="350"/>
    </row>
    <row r="33" spans="1:148" ht="12.75">
      <c r="A33" s="789"/>
      <c r="B33" s="791"/>
      <c r="C33" s="763"/>
      <c r="D33" s="284"/>
      <c r="G33" s="87"/>
      <c r="H33" s="87"/>
      <c r="I33" s="87"/>
      <c r="J33" s="87"/>
      <c r="L33" s="66" t="s">
        <v>879</v>
      </c>
      <c r="M33" s="65">
        <f>S32</f>
        <v>246.87</v>
      </c>
      <c r="N33" s="44"/>
      <c r="O33" s="14"/>
      <c r="P33" s="452">
        <v>24</v>
      </c>
      <c r="Q33" s="1182"/>
      <c r="R33" s="472" t="s">
        <v>1312</v>
      </c>
      <c r="S33" s="806">
        <f>ROUNDDOWN(S34*0.75,2)</f>
        <v>370.31</v>
      </c>
      <c r="T33" s="23"/>
      <c r="V33" s="1184" t="s">
        <v>5</v>
      </c>
      <c r="W33" s="1185"/>
      <c r="X33" s="1186"/>
      <c r="Y33" s="30"/>
      <c r="Z33" s="16"/>
      <c r="AA33" s="18"/>
      <c r="AB33" s="66" t="s">
        <v>1451</v>
      </c>
      <c r="AC33" s="65">
        <f t="shared" si="6"/>
        <v>255</v>
      </c>
      <c r="AE33" s="14"/>
      <c r="AF33" s="488">
        <v>24</v>
      </c>
      <c r="AG33" s="1182"/>
      <c r="AH33" s="505" t="s">
        <v>1312</v>
      </c>
      <c r="AI33" s="819">
        <f>ROUNDDOWN(AI34*0.75,2)</f>
        <v>255</v>
      </c>
      <c r="AJ33" s="15"/>
      <c r="AK33" s="16"/>
      <c r="AL33" s="25"/>
      <c r="AO33" s="14"/>
      <c r="AP33" s="488">
        <v>24</v>
      </c>
      <c r="AQ33" s="1182"/>
      <c r="AR33" s="505" t="s">
        <v>1312</v>
      </c>
      <c r="AS33" s="817">
        <f t="shared" si="0"/>
        <v>370.31</v>
      </c>
      <c r="AT33" s="819">
        <f>ROUNDDOWN(AT34*0.75,2)</f>
        <v>7.57</v>
      </c>
      <c r="AU33" s="15"/>
      <c r="AV33" s="16"/>
      <c r="AW33" s="44"/>
      <c r="AX33" s="25"/>
      <c r="AZ33" s="14"/>
      <c r="BA33" s="488">
        <v>24</v>
      </c>
      <c r="BB33" s="1215"/>
      <c r="BC33" s="505" t="s">
        <v>1312</v>
      </c>
      <c r="BD33" s="817">
        <f t="shared" si="1"/>
        <v>370.31</v>
      </c>
      <c r="BE33" s="819">
        <f>ROUNDDOWN(BE34*0.75,2)</f>
        <v>104.62</v>
      </c>
      <c r="BF33" s="18"/>
      <c r="BG33" s="34"/>
      <c r="BJ33" s="14"/>
      <c r="BK33" s="15"/>
      <c r="BL33" s="15"/>
      <c r="BM33" s="15"/>
      <c r="BN33" s="15"/>
      <c r="BO33" s="15"/>
      <c r="BP33" s="15"/>
      <c r="BQ33" s="15"/>
      <c r="BR33" s="34"/>
      <c r="BS33" s="27"/>
      <c r="BT33" s="38"/>
      <c r="BU33" s="477">
        <v>24</v>
      </c>
      <c r="BV33" s="1181" t="s">
        <v>183</v>
      </c>
      <c r="BW33" s="474" t="s">
        <v>1312</v>
      </c>
      <c r="BX33" s="807">
        <f>S42</f>
        <v>429.64</v>
      </c>
      <c r="BY33" s="30"/>
      <c r="BZ33" s="23"/>
      <c r="CA33" s="74" t="str">
        <f>"De R$ "&amp;TEXT(BASE_PREV+0.01,"0,00")&amp;" a "&amp;TEXT(BASE_PREV2,"0,00")</f>
        <v>De R$ 500,40 a 752,13</v>
      </c>
      <c r="CB33" s="834">
        <v>18.08</v>
      </c>
      <c r="CC33" s="16"/>
      <c r="CE33" s="66" t="s">
        <v>879</v>
      </c>
      <c r="CF33" s="65">
        <f>CL33</f>
        <v>429.64</v>
      </c>
      <c r="CH33" s="14"/>
      <c r="CI33" s="483">
        <v>23</v>
      </c>
      <c r="CJ33" s="1191" t="s">
        <v>183</v>
      </c>
      <c r="CK33" s="504" t="s">
        <v>1312</v>
      </c>
      <c r="CL33" s="816">
        <f>BX33</f>
        <v>429.64</v>
      </c>
      <c r="CM33" s="818">
        <f>CM31</f>
        <v>8.7</v>
      </c>
      <c r="CN33" s="30"/>
      <c r="CO33" s="23"/>
      <c r="CP33" s="74" t="str">
        <f>"De R$ "&amp;TEXT(BASE_PREV+0.01,"0,00")&amp;" a "&amp;TEXT(BASE_PREV2,"0,00")</f>
        <v>De R$ 500,40 a 752,13</v>
      </c>
      <c r="CQ33" s="852">
        <f>CB33</f>
        <v>18.08</v>
      </c>
      <c r="CR33" s="16"/>
      <c r="CU33" s="14"/>
      <c r="CV33" s="483">
        <v>23</v>
      </c>
      <c r="CW33" s="1191" t="s">
        <v>183</v>
      </c>
      <c r="CX33" s="504" t="s">
        <v>1312</v>
      </c>
      <c r="CY33" s="816">
        <f>BX33</f>
        <v>429.64</v>
      </c>
      <c r="CZ33" s="818">
        <f>BE42</f>
        <v>188.85</v>
      </c>
      <c r="DA33" s="30"/>
      <c r="DB33" s="23"/>
      <c r="DC33" s="74" t="str">
        <f>"De R$ "&amp;TEXT(BASE_PREV+0.01,"0,00")&amp;" a "&amp;TEXT(BASE_PREV2,"0,00")</f>
        <v>De R$ 500,40 a 752,13</v>
      </c>
      <c r="DD33" s="852">
        <f>CB33</f>
        <v>18.08</v>
      </c>
      <c r="DE33" s="16"/>
      <c r="DH33" s="14"/>
      <c r="DI33" s="61"/>
      <c r="DQ33" s="16"/>
      <c r="DT33" s="14"/>
      <c r="DU33" s="18"/>
      <c r="EB33" s="24"/>
      <c r="EC33" s="16"/>
      <c r="EE33" s="66" t="s">
        <v>870</v>
      </c>
      <c r="EF33" s="65">
        <f>EL33</f>
        <v>0</v>
      </c>
      <c r="EH33" s="349"/>
      <c r="EI33" s="353"/>
      <c r="EJ33" s="131"/>
      <c r="EK33" s="318"/>
      <c r="EL33" s="29"/>
      <c r="EM33" s="23"/>
      <c r="EN33" s="323"/>
      <c r="EO33" s="323"/>
      <c r="EP33" s="323"/>
      <c r="EQ33" s="323"/>
      <c r="ER33" s="350"/>
    </row>
    <row r="34" spans="1:148" ht="12.75">
      <c r="A34" s="789"/>
      <c r="B34" s="791"/>
      <c r="C34" s="763"/>
      <c r="D34" s="284"/>
      <c r="G34" s="87"/>
      <c r="H34" s="87"/>
      <c r="I34" s="87"/>
      <c r="J34" s="87"/>
      <c r="L34" s="66" t="s">
        <v>880</v>
      </c>
      <c r="M34" s="65">
        <f t="shared" si="5"/>
        <v>370.31</v>
      </c>
      <c r="N34" s="44"/>
      <c r="O34" s="14"/>
      <c r="P34" s="1027">
        <v>25</v>
      </c>
      <c r="Q34" s="1202"/>
      <c r="R34" s="474" t="s">
        <v>198</v>
      </c>
      <c r="S34" s="1023">
        <f>VLOOKUP("TV GERAL 08 40H",RHE,10,FALSE)</f>
        <v>493.75</v>
      </c>
      <c r="T34" s="23"/>
      <c r="Y34" s="30"/>
      <c r="Z34" s="16"/>
      <c r="AA34" s="18"/>
      <c r="AB34" s="66" t="s">
        <v>1452</v>
      </c>
      <c r="AC34" s="65">
        <f t="shared" si="6"/>
        <v>340</v>
      </c>
      <c r="AE34" s="14"/>
      <c r="AF34" s="483">
        <v>25</v>
      </c>
      <c r="AG34" s="1192"/>
      <c r="AH34" s="507" t="s">
        <v>198</v>
      </c>
      <c r="AI34" s="807">
        <f>VLOOKUP("TV GERAL 08 40H",RHE,18,FALSE)</f>
        <v>340</v>
      </c>
      <c r="AJ34" s="15"/>
      <c r="AK34" s="16"/>
      <c r="AL34" s="25"/>
      <c r="AO34" s="14"/>
      <c r="AP34" s="483">
        <v>25</v>
      </c>
      <c r="AQ34" s="1192"/>
      <c r="AR34" s="507" t="s">
        <v>198</v>
      </c>
      <c r="AS34" s="816">
        <f t="shared" si="0"/>
        <v>493.75</v>
      </c>
      <c r="AT34" s="818">
        <f>VLOOKUP("TV GERAL 08 40H",RHE,12,FALSE)</f>
        <v>10.1</v>
      </c>
      <c r="AU34" s="15"/>
      <c r="AV34" s="16"/>
      <c r="AW34" s="44"/>
      <c r="AX34" s="25"/>
      <c r="AZ34" s="14"/>
      <c r="BA34" s="483">
        <v>25</v>
      </c>
      <c r="BB34" s="1215"/>
      <c r="BC34" s="507" t="s">
        <v>198</v>
      </c>
      <c r="BD34" s="816">
        <f t="shared" si="1"/>
        <v>493.75</v>
      </c>
      <c r="BE34" s="818">
        <f>VLOOKUP("TV GERAL 08 40H",RHE,14,FALSE)</f>
        <v>139.5</v>
      </c>
      <c r="BF34" s="18"/>
      <c r="BG34" s="34"/>
      <c r="BJ34" s="14"/>
      <c r="BK34" s="15"/>
      <c r="BL34" s="15"/>
      <c r="BM34" s="15"/>
      <c r="BN34" s="15"/>
      <c r="BO34" s="15"/>
      <c r="BP34" s="15"/>
      <c r="BQ34" s="15"/>
      <c r="BR34" s="34"/>
      <c r="BS34" s="27"/>
      <c r="BT34" s="38"/>
      <c r="BU34" s="477">
        <v>25</v>
      </c>
      <c r="BV34" s="1202"/>
      <c r="BW34" s="474" t="s">
        <v>198</v>
      </c>
      <c r="BX34" s="807">
        <f>S43</f>
        <v>572.86</v>
      </c>
      <c r="BY34" s="30"/>
      <c r="BZ34" s="23"/>
      <c r="CB34" s="468"/>
      <c r="CC34" s="16"/>
      <c r="CE34" s="66" t="s">
        <v>804</v>
      </c>
      <c r="CF34" s="65">
        <f t="shared" si="2"/>
        <v>572.86</v>
      </c>
      <c r="CH34" s="14"/>
      <c r="CI34" s="483">
        <v>25</v>
      </c>
      <c r="CJ34" s="1202"/>
      <c r="CK34" s="504" t="s">
        <v>198</v>
      </c>
      <c r="CL34" s="816">
        <f t="shared" si="3"/>
        <v>572.86</v>
      </c>
      <c r="CM34" s="818">
        <f>CM32</f>
        <v>11.6</v>
      </c>
      <c r="CN34" s="30"/>
      <c r="CO34" s="23"/>
      <c r="CP34" s="15" t="s">
        <v>1079</v>
      </c>
      <c r="CQ34" s="15"/>
      <c r="CR34" s="16"/>
      <c r="CU34" s="14"/>
      <c r="CV34" s="483">
        <v>25</v>
      </c>
      <c r="CW34" s="1202"/>
      <c r="CX34" s="504" t="s">
        <v>198</v>
      </c>
      <c r="CY34" s="816">
        <f t="shared" si="4"/>
        <v>572.86</v>
      </c>
      <c r="CZ34" s="818">
        <f>BE43</f>
        <v>251.8</v>
      </c>
      <c r="DA34" s="30"/>
      <c r="DB34" s="23"/>
      <c r="DC34" s="15" t="s">
        <v>1079</v>
      </c>
      <c r="DD34" s="15"/>
      <c r="DE34" s="16"/>
      <c r="DH34" s="14"/>
      <c r="DI34" s="61"/>
      <c r="DJ34" s="61"/>
      <c r="DK34" s="29"/>
      <c r="DL34" s="29"/>
      <c r="DM34" s="29"/>
      <c r="DO34" s="339"/>
      <c r="DQ34" s="16"/>
      <c r="DT34" s="14"/>
      <c r="DU34" s="18"/>
      <c r="EB34" s="24"/>
      <c r="EC34" s="16"/>
      <c r="EE34" s="66" t="s">
        <v>879</v>
      </c>
      <c r="EF34" s="65">
        <f t="shared" si="9"/>
        <v>0</v>
      </c>
      <c r="EH34" s="349"/>
      <c r="EI34" s="353"/>
      <c r="EJ34" s="131"/>
      <c r="EK34" s="318"/>
      <c r="EL34" s="29"/>
      <c r="EM34" s="23"/>
      <c r="EN34" s="323"/>
      <c r="EO34" s="323"/>
      <c r="EP34" s="323"/>
      <c r="EQ34" s="323"/>
      <c r="ER34" s="350"/>
    </row>
    <row r="35" spans="1:148" ht="12.75">
      <c r="A35" s="844"/>
      <c r="B35" s="845"/>
      <c r="D35" s="284"/>
      <c r="G35" s="87"/>
      <c r="H35" s="87"/>
      <c r="I35" s="87"/>
      <c r="J35" s="87"/>
      <c r="L35" s="66" t="s">
        <v>804</v>
      </c>
      <c r="M35" s="65">
        <f t="shared" si="5"/>
        <v>493.75</v>
      </c>
      <c r="N35" s="44"/>
      <c r="O35" s="14"/>
      <c r="P35" s="452">
        <v>26</v>
      </c>
      <c r="Q35" s="1181" t="s">
        <v>159</v>
      </c>
      <c r="R35" s="472" t="s">
        <v>1302</v>
      </c>
      <c r="S35" s="806">
        <f>ROUNDDOWN(S37*0.5,2)</f>
        <v>259.34</v>
      </c>
      <c r="T35" s="23"/>
      <c r="V35" s="1213" t="s">
        <v>899</v>
      </c>
      <c r="W35" s="456">
        <v>20</v>
      </c>
      <c r="X35" s="805">
        <f>ROUNDDOWN(X36/2,2)</f>
        <v>35.52</v>
      </c>
      <c r="Y35" s="30"/>
      <c r="Z35" s="16"/>
      <c r="AA35" s="18"/>
      <c r="AB35" s="66" t="s">
        <v>1453</v>
      </c>
      <c r="AC35" s="65">
        <f t="shared" si="6"/>
        <v>160</v>
      </c>
      <c r="AE35" s="14"/>
      <c r="AF35" s="488">
        <v>26</v>
      </c>
      <c r="AG35" s="1191" t="s">
        <v>159</v>
      </c>
      <c r="AH35" s="509" t="s">
        <v>1302</v>
      </c>
      <c r="AI35" s="819">
        <f>ROUNDDOWN(AI37*0.5,2)</f>
        <v>160</v>
      </c>
      <c r="AJ35" s="15"/>
      <c r="AK35" s="16"/>
      <c r="AL35" s="25"/>
      <c r="AO35" s="14"/>
      <c r="AP35" s="488">
        <v>26</v>
      </c>
      <c r="AQ35" s="1191" t="s">
        <v>159</v>
      </c>
      <c r="AR35" s="509" t="s">
        <v>1302</v>
      </c>
      <c r="AS35" s="817">
        <f t="shared" si="0"/>
        <v>259.34</v>
      </c>
      <c r="AT35" s="819">
        <f>ROUNDDOWN(AT37*0.5,2)</f>
        <v>5.8</v>
      </c>
      <c r="AU35" s="15"/>
      <c r="AV35" s="16"/>
      <c r="AW35" s="44"/>
      <c r="AX35" s="25"/>
      <c r="AZ35" s="14"/>
      <c r="BA35" s="488">
        <v>26</v>
      </c>
      <c r="BB35" s="1215" t="s">
        <v>159</v>
      </c>
      <c r="BC35" s="509" t="s">
        <v>1302</v>
      </c>
      <c r="BD35" s="817">
        <f t="shared" si="1"/>
        <v>259.34</v>
      </c>
      <c r="BE35" s="819">
        <f>ROUNDDOWN(BE37*0.5,2)</f>
        <v>69.75</v>
      </c>
      <c r="BF35" s="18"/>
      <c r="BG35" s="34"/>
      <c r="BJ35" s="14"/>
      <c r="BK35" s="15"/>
      <c r="BL35" s="15"/>
      <c r="BM35" s="15"/>
      <c r="BN35" s="15"/>
      <c r="BO35" s="15"/>
      <c r="BP35" s="15"/>
      <c r="BQ35" s="15"/>
      <c r="BR35" s="34"/>
      <c r="BS35" s="27"/>
      <c r="BT35" s="38"/>
      <c r="BU35" s="475">
        <v>26</v>
      </c>
      <c r="BV35" s="1181" t="s">
        <v>184</v>
      </c>
      <c r="BW35" s="472" t="s">
        <v>1312</v>
      </c>
      <c r="BX35" s="812">
        <f>S45</f>
        <v>451.87</v>
      </c>
      <c r="BY35" s="30"/>
      <c r="BZ35" s="23"/>
      <c r="CB35" s="468"/>
      <c r="CC35" s="16"/>
      <c r="CE35" s="66" t="s">
        <v>805</v>
      </c>
      <c r="CF35" s="65">
        <f t="shared" si="2"/>
        <v>451.87</v>
      </c>
      <c r="CH35" s="14"/>
      <c r="CI35" s="488">
        <v>26</v>
      </c>
      <c r="CJ35" s="1191" t="s">
        <v>184</v>
      </c>
      <c r="CK35" s="505" t="s">
        <v>1312</v>
      </c>
      <c r="CL35" s="817">
        <f t="shared" si="3"/>
        <v>451.87</v>
      </c>
      <c r="CM35" s="819">
        <f>CM29</f>
        <v>8.7</v>
      </c>
      <c r="CN35" s="30"/>
      <c r="CO35" s="23"/>
      <c r="CP35" s="15" t="s">
        <v>1079</v>
      </c>
      <c r="CQ35" s="15"/>
      <c r="CR35" s="16"/>
      <c r="CU35" s="14"/>
      <c r="CV35" s="488">
        <v>26</v>
      </c>
      <c r="CW35" s="1191" t="s">
        <v>184</v>
      </c>
      <c r="CX35" s="505" t="s">
        <v>1312</v>
      </c>
      <c r="CY35" s="817">
        <f t="shared" si="4"/>
        <v>451.87</v>
      </c>
      <c r="CZ35" s="819">
        <f>CZ33</f>
        <v>188.85</v>
      </c>
      <c r="DA35" s="30"/>
      <c r="DB35" s="23"/>
      <c r="DC35" s="15" t="s">
        <v>1079</v>
      </c>
      <c r="DD35" s="15"/>
      <c r="DE35" s="16"/>
      <c r="DH35" s="14"/>
      <c r="DJ35" s="339"/>
      <c r="DK35" s="339"/>
      <c r="DL35" s="339"/>
      <c r="DM35" s="339"/>
      <c r="DN35" s="339"/>
      <c r="DQ35" s="16"/>
      <c r="DT35" s="14"/>
      <c r="DU35" s="18"/>
      <c r="EB35" s="24"/>
      <c r="EC35" s="16"/>
      <c r="EE35" s="66" t="s">
        <v>880</v>
      </c>
      <c r="EF35" s="65">
        <f t="shared" si="9"/>
        <v>0</v>
      </c>
      <c r="EH35" s="349"/>
      <c r="EI35" s="353"/>
      <c r="EJ35" s="131"/>
      <c r="EK35" s="318"/>
      <c r="EL35" s="29"/>
      <c r="EM35" s="23"/>
      <c r="EN35" s="323"/>
      <c r="EO35" s="323"/>
      <c r="EP35" s="323"/>
      <c r="EQ35" s="323"/>
      <c r="ER35" s="350"/>
    </row>
    <row r="36" spans="2:148" ht="12.75">
      <c r="B36" s="846"/>
      <c r="D36" s="284"/>
      <c r="G36" s="87"/>
      <c r="H36" s="87"/>
      <c r="I36" s="87"/>
      <c r="J36" s="87"/>
      <c r="L36" s="66" t="s">
        <v>805</v>
      </c>
      <c r="M36" s="65">
        <f t="shared" si="5"/>
        <v>259.34</v>
      </c>
      <c r="N36" s="44"/>
      <c r="O36" s="14"/>
      <c r="P36" s="452">
        <v>27</v>
      </c>
      <c r="Q36" s="1182"/>
      <c r="R36" s="450" t="s">
        <v>1312</v>
      </c>
      <c r="S36" s="806">
        <f>ROUNDDOWN(S37*0.75,2)</f>
        <v>389.01</v>
      </c>
      <c r="T36" s="23"/>
      <c r="V36" s="1188"/>
      <c r="W36" s="479">
        <v>40</v>
      </c>
      <c r="X36" s="807">
        <f>ROUNDDOWN((PISO_40H)*0.2,2)</f>
        <v>71.05</v>
      </c>
      <c r="Y36" s="30"/>
      <c r="Z36" s="16"/>
      <c r="AA36" s="18"/>
      <c r="AB36" s="66" t="s">
        <v>1454</v>
      </c>
      <c r="AC36" s="65">
        <f t="shared" si="6"/>
        <v>240</v>
      </c>
      <c r="AE36" s="14"/>
      <c r="AF36" s="452">
        <v>27</v>
      </c>
      <c r="AG36" s="1182"/>
      <c r="AH36" s="503" t="s">
        <v>1312</v>
      </c>
      <c r="AI36" s="806">
        <f>ROUNDDOWN(AI37*0.75,2)</f>
        <v>240</v>
      </c>
      <c r="AJ36" s="15"/>
      <c r="AK36" s="16"/>
      <c r="AL36" s="25"/>
      <c r="AO36" s="14"/>
      <c r="AP36" s="452">
        <v>27</v>
      </c>
      <c r="AQ36" s="1182"/>
      <c r="AR36" s="503" t="s">
        <v>1312</v>
      </c>
      <c r="AS36" s="809">
        <f t="shared" si="0"/>
        <v>389.01</v>
      </c>
      <c r="AT36" s="806">
        <f>ROUNDDOWN(AT37*0.75,2)</f>
        <v>8.7</v>
      </c>
      <c r="AU36" s="15"/>
      <c r="AV36" s="16"/>
      <c r="AW36" s="44"/>
      <c r="AX36" s="25"/>
      <c r="AZ36" s="14"/>
      <c r="BA36" s="452">
        <v>27</v>
      </c>
      <c r="BB36" s="1215"/>
      <c r="BC36" s="503" t="s">
        <v>1312</v>
      </c>
      <c r="BD36" s="809">
        <f t="shared" si="1"/>
        <v>389.01</v>
      </c>
      <c r="BE36" s="806">
        <f>ROUNDDOWN(BE37*0.75,2)</f>
        <v>104.62</v>
      </c>
      <c r="BF36" s="18"/>
      <c r="BG36" s="34"/>
      <c r="BJ36" s="14"/>
      <c r="BK36" s="15"/>
      <c r="BL36" s="15"/>
      <c r="BM36" s="15"/>
      <c r="BN36" s="15"/>
      <c r="BO36" s="15"/>
      <c r="BP36" s="15"/>
      <c r="BQ36" s="15"/>
      <c r="BR36" s="34"/>
      <c r="BS36" s="27"/>
      <c r="BT36" s="38"/>
      <c r="BU36" s="477">
        <v>27</v>
      </c>
      <c r="BV36" s="1202"/>
      <c r="BW36" s="474" t="s">
        <v>198</v>
      </c>
      <c r="BX36" s="807">
        <f>S46</f>
        <v>602.5</v>
      </c>
      <c r="BY36" s="30"/>
      <c r="BZ36" s="23"/>
      <c r="CB36" s="468"/>
      <c r="CC36" s="16" t="s">
        <v>1079</v>
      </c>
      <c r="CE36" s="66" t="s">
        <v>806</v>
      </c>
      <c r="CF36" s="65">
        <f t="shared" si="2"/>
        <v>602.5</v>
      </c>
      <c r="CH36" s="14"/>
      <c r="CI36" s="483">
        <v>27</v>
      </c>
      <c r="CJ36" s="1202"/>
      <c r="CK36" s="504" t="s">
        <v>198</v>
      </c>
      <c r="CL36" s="816">
        <f t="shared" si="3"/>
        <v>602.5</v>
      </c>
      <c r="CM36" s="818">
        <f>CM30</f>
        <v>11.6</v>
      </c>
      <c r="CN36" s="30"/>
      <c r="CO36" s="23"/>
      <c r="CP36" s="15" t="s">
        <v>1079</v>
      </c>
      <c r="CQ36" s="15"/>
      <c r="CR36" s="16" t="s">
        <v>1079</v>
      </c>
      <c r="CU36" s="14"/>
      <c r="CV36" s="483">
        <v>27</v>
      </c>
      <c r="CW36" s="1202"/>
      <c r="CX36" s="504" t="s">
        <v>198</v>
      </c>
      <c r="CY36" s="816">
        <f t="shared" si="4"/>
        <v>602.5</v>
      </c>
      <c r="CZ36" s="818">
        <f>CZ34</f>
        <v>251.8</v>
      </c>
      <c r="DA36" s="30"/>
      <c r="DB36" s="23"/>
      <c r="DC36" s="15" t="s">
        <v>1079</v>
      </c>
      <c r="DD36" s="15"/>
      <c r="DE36" s="16"/>
      <c r="DH36" s="14"/>
      <c r="DI36" s="61"/>
      <c r="DJ36" s="339"/>
      <c r="DK36" s="339"/>
      <c r="DL36" s="339"/>
      <c r="DM36" s="339"/>
      <c r="DN36" s="339"/>
      <c r="DQ36" s="16"/>
      <c r="DT36" s="14"/>
      <c r="DU36" s="18"/>
      <c r="EB36" s="24"/>
      <c r="EC36" s="16"/>
      <c r="EE36" s="66" t="s">
        <v>804</v>
      </c>
      <c r="EF36" s="65">
        <f t="shared" si="9"/>
        <v>0</v>
      </c>
      <c r="EH36" s="349"/>
      <c r="EI36" s="353"/>
      <c r="EJ36" s="131"/>
      <c r="EK36" s="318"/>
      <c r="EL36" s="29"/>
      <c r="EM36" s="23"/>
      <c r="EN36" s="15"/>
      <c r="EO36" s="15"/>
      <c r="EP36" s="15"/>
      <c r="EQ36" s="15"/>
      <c r="ER36" s="350"/>
    </row>
    <row r="37" spans="1:148" ht="12.75">
      <c r="A37" s="792"/>
      <c r="B37" s="847"/>
      <c r="C37" s="792"/>
      <c r="D37" s="284"/>
      <c r="G37" s="87"/>
      <c r="H37" s="87"/>
      <c r="I37" s="87"/>
      <c r="J37" s="87"/>
      <c r="L37" s="66" t="s">
        <v>806</v>
      </c>
      <c r="M37" s="65">
        <f t="shared" si="5"/>
        <v>389.01</v>
      </c>
      <c r="N37" s="44"/>
      <c r="O37" s="14"/>
      <c r="P37" s="1027">
        <v>28</v>
      </c>
      <c r="Q37" s="1202"/>
      <c r="R37" s="474" t="s">
        <v>198</v>
      </c>
      <c r="S37" s="1023">
        <f>VLOOKUP("TV GERAL 09 40H",RHE,10,FALSE)</f>
        <v>518.68</v>
      </c>
      <c r="T37" s="23"/>
      <c r="U37" s="34"/>
      <c r="V37" s="1187" t="s">
        <v>900</v>
      </c>
      <c r="W37" s="478">
        <v>20</v>
      </c>
      <c r="X37" s="812">
        <f>ROUNDDOWN(X38/2,2)</f>
        <v>71.05</v>
      </c>
      <c r="Y37" s="30"/>
      <c r="Z37" s="16"/>
      <c r="AA37" s="18"/>
      <c r="AB37" s="66" t="s">
        <v>1455</v>
      </c>
      <c r="AC37" s="65">
        <f t="shared" si="6"/>
        <v>320</v>
      </c>
      <c r="AE37" s="14"/>
      <c r="AF37" s="483">
        <v>28</v>
      </c>
      <c r="AG37" s="1192"/>
      <c r="AH37" s="507" t="s">
        <v>198</v>
      </c>
      <c r="AI37" s="807">
        <f>VLOOKUP("TV GERAL 09 40H",RHE,18,FALSE)</f>
        <v>320</v>
      </c>
      <c r="AJ37" s="15"/>
      <c r="AK37" s="16"/>
      <c r="AL37" s="25"/>
      <c r="AO37" s="14"/>
      <c r="AP37" s="483">
        <v>28</v>
      </c>
      <c r="AQ37" s="1192"/>
      <c r="AR37" s="507" t="s">
        <v>198</v>
      </c>
      <c r="AS37" s="816">
        <f t="shared" si="0"/>
        <v>518.68</v>
      </c>
      <c r="AT37" s="818">
        <f>VLOOKUP("TV GERAL 09 40H",RHE,12,FALSE)</f>
        <v>11.6</v>
      </c>
      <c r="AU37" s="15"/>
      <c r="AV37" s="16"/>
      <c r="AW37" s="44"/>
      <c r="AX37" s="25"/>
      <c r="AZ37" s="14"/>
      <c r="BA37" s="483">
        <v>28</v>
      </c>
      <c r="BB37" s="1215"/>
      <c r="BC37" s="507" t="s">
        <v>198</v>
      </c>
      <c r="BD37" s="816">
        <f t="shared" si="1"/>
        <v>518.68</v>
      </c>
      <c r="BE37" s="818">
        <f>VLOOKUP("TV GERAL 09 40H",RHE,14,FALSE)</f>
        <v>139.5</v>
      </c>
      <c r="BF37" s="18"/>
      <c r="BG37" s="34"/>
      <c r="BJ37" s="14"/>
      <c r="BK37" s="15"/>
      <c r="BL37" s="15"/>
      <c r="BM37" s="15"/>
      <c r="BN37" s="15"/>
      <c r="BO37" s="15"/>
      <c r="BP37" s="15"/>
      <c r="BQ37" s="15"/>
      <c r="BR37" s="34"/>
      <c r="BS37" s="27"/>
      <c r="BT37" s="38"/>
      <c r="BU37" s="475">
        <v>28</v>
      </c>
      <c r="BV37" s="1181" t="s">
        <v>185</v>
      </c>
      <c r="BW37" s="472" t="s">
        <v>1312</v>
      </c>
      <c r="BX37" s="812">
        <f>S48</f>
        <v>475.43</v>
      </c>
      <c r="BY37" s="30"/>
      <c r="BZ37" s="23"/>
      <c r="CA37" s="15" t="s">
        <v>1079</v>
      </c>
      <c r="CB37" s="15"/>
      <c r="CC37" s="16" t="s">
        <v>1079</v>
      </c>
      <c r="CE37" s="66" t="s">
        <v>807</v>
      </c>
      <c r="CF37" s="65">
        <f t="shared" si="2"/>
        <v>475.43</v>
      </c>
      <c r="CH37" s="14"/>
      <c r="CI37" s="488">
        <v>28</v>
      </c>
      <c r="CJ37" s="1191" t="s">
        <v>185</v>
      </c>
      <c r="CK37" s="505" t="s">
        <v>1312</v>
      </c>
      <c r="CL37" s="817">
        <f t="shared" si="3"/>
        <v>475.43</v>
      </c>
      <c r="CM37" s="819">
        <f>AT48</f>
        <v>10.05</v>
      </c>
      <c r="CN37" s="30"/>
      <c r="CO37" s="23"/>
      <c r="CP37" s="15" t="s">
        <v>1079</v>
      </c>
      <c r="CQ37" s="15"/>
      <c r="CR37" s="16" t="s">
        <v>1079</v>
      </c>
      <c r="CU37" s="14"/>
      <c r="CV37" s="488">
        <v>28</v>
      </c>
      <c r="CW37" s="1191" t="s">
        <v>185</v>
      </c>
      <c r="CX37" s="505" t="s">
        <v>1312</v>
      </c>
      <c r="CY37" s="817">
        <f t="shared" si="4"/>
        <v>475.43</v>
      </c>
      <c r="CZ37" s="819">
        <f>BE48</f>
        <v>282.07</v>
      </c>
      <c r="DA37" s="30"/>
      <c r="DB37" s="23"/>
      <c r="DC37" s="15" t="s">
        <v>1079</v>
      </c>
      <c r="DD37" s="15"/>
      <c r="DE37" s="16" t="s">
        <v>1079</v>
      </c>
      <c r="DH37" s="14"/>
      <c r="DJ37" s="339"/>
      <c r="DK37" s="339"/>
      <c r="DL37" s="339"/>
      <c r="DM37" s="339"/>
      <c r="DN37" s="15"/>
      <c r="DO37" s="111"/>
      <c r="DQ37" s="16"/>
      <c r="DT37" s="14"/>
      <c r="DU37" s="18"/>
      <c r="EB37" s="24"/>
      <c r="EC37" s="16"/>
      <c r="EE37" s="66" t="s">
        <v>805</v>
      </c>
      <c r="EF37" s="65">
        <f t="shared" si="9"/>
        <v>0</v>
      </c>
      <c r="EH37" s="349"/>
      <c r="EI37" s="353"/>
      <c r="EJ37" s="131"/>
      <c r="EK37" s="318"/>
      <c r="EL37" s="29"/>
      <c r="EM37" s="23"/>
      <c r="EN37" s="15"/>
      <c r="EO37" s="15"/>
      <c r="EP37" s="15"/>
      <c r="EQ37" s="15"/>
      <c r="ER37" s="350"/>
    </row>
    <row r="38" spans="1:148" ht="12.75">
      <c r="A38" s="792"/>
      <c r="B38" s="792"/>
      <c r="C38" s="792"/>
      <c r="D38" s="284"/>
      <c r="G38" s="87"/>
      <c r="H38" s="87"/>
      <c r="I38" s="87"/>
      <c r="J38" s="87"/>
      <c r="L38" s="66" t="s">
        <v>807</v>
      </c>
      <c r="M38" s="65">
        <f t="shared" si="5"/>
        <v>518.68</v>
      </c>
      <c r="N38" s="44"/>
      <c r="O38" s="14"/>
      <c r="P38" s="452">
        <v>29</v>
      </c>
      <c r="Q38" s="1181" t="s">
        <v>160</v>
      </c>
      <c r="R38" s="472" t="s">
        <v>1302</v>
      </c>
      <c r="S38" s="806">
        <f>ROUNDDOWN(S40*0.5,2)</f>
        <v>272.5</v>
      </c>
      <c r="T38" s="23"/>
      <c r="U38" s="71"/>
      <c r="V38" s="1188"/>
      <c r="W38" s="479">
        <v>40</v>
      </c>
      <c r="X38" s="807">
        <f>ROUNDDOWN((PISO_40H)*0.4,2)</f>
        <v>142.1</v>
      </c>
      <c r="Y38" s="476"/>
      <c r="Z38" s="16"/>
      <c r="AA38" s="18"/>
      <c r="AB38" s="66" t="s">
        <v>1456</v>
      </c>
      <c r="AC38" s="65">
        <f t="shared" si="6"/>
        <v>150</v>
      </c>
      <c r="AE38" s="14"/>
      <c r="AF38" s="488">
        <v>29</v>
      </c>
      <c r="AG38" s="1191" t="s">
        <v>160</v>
      </c>
      <c r="AH38" s="509" t="s">
        <v>1302</v>
      </c>
      <c r="AI38" s="819">
        <f>ROUNDDOWN(AI40*0.5,2)</f>
        <v>150</v>
      </c>
      <c r="AJ38" s="15"/>
      <c r="AK38" s="16"/>
      <c r="AL38" s="25"/>
      <c r="AO38" s="14"/>
      <c r="AP38" s="488">
        <v>29</v>
      </c>
      <c r="AQ38" s="1191" t="s">
        <v>160</v>
      </c>
      <c r="AR38" s="509" t="s">
        <v>1302</v>
      </c>
      <c r="AS38" s="817">
        <f t="shared" si="0"/>
        <v>272.5</v>
      </c>
      <c r="AT38" s="819">
        <f>ROUNDDOWN(AT40*0.5,2)</f>
        <v>5.8</v>
      </c>
      <c r="AU38" s="15"/>
      <c r="AV38" s="16"/>
      <c r="AW38" s="44"/>
      <c r="AX38" s="25"/>
      <c r="AZ38" s="14"/>
      <c r="BA38" s="488">
        <v>29</v>
      </c>
      <c r="BB38" s="1215" t="s">
        <v>160</v>
      </c>
      <c r="BC38" s="509" t="s">
        <v>1302</v>
      </c>
      <c r="BD38" s="817">
        <f t="shared" si="1"/>
        <v>272.5</v>
      </c>
      <c r="BE38" s="819">
        <f>ROUNDDOWN(BE40*0.5,2)</f>
        <v>69.75</v>
      </c>
      <c r="BF38" s="18"/>
      <c r="BG38" s="34"/>
      <c r="BJ38" s="14"/>
      <c r="BK38" s="15"/>
      <c r="BL38" s="15"/>
      <c r="BM38" s="15"/>
      <c r="BN38" s="15"/>
      <c r="BO38" s="15"/>
      <c r="BP38" s="15"/>
      <c r="BQ38" s="15"/>
      <c r="BR38" s="34"/>
      <c r="BS38" s="27"/>
      <c r="BT38" s="38"/>
      <c r="BU38" s="477">
        <v>29</v>
      </c>
      <c r="BV38" s="1202"/>
      <c r="BW38" s="474" t="s">
        <v>198</v>
      </c>
      <c r="BX38" s="807">
        <f>S49</f>
        <v>633.91</v>
      </c>
      <c r="BY38" s="30"/>
      <c r="BZ38" s="23"/>
      <c r="CA38" s="15" t="s">
        <v>1079</v>
      </c>
      <c r="CB38" s="15"/>
      <c r="CC38" s="16" t="s">
        <v>1079</v>
      </c>
      <c r="CE38" s="66" t="s">
        <v>808</v>
      </c>
      <c r="CF38" s="65">
        <f t="shared" si="2"/>
        <v>633.91</v>
      </c>
      <c r="CH38" s="14"/>
      <c r="CI38" s="483">
        <v>29</v>
      </c>
      <c r="CJ38" s="1202"/>
      <c r="CK38" s="504" t="s">
        <v>198</v>
      </c>
      <c r="CL38" s="816">
        <f t="shared" si="3"/>
        <v>633.91</v>
      </c>
      <c r="CM38" s="818">
        <f>SUS04</f>
        <v>13.4</v>
      </c>
      <c r="CN38" s="30"/>
      <c r="CO38" s="23"/>
      <c r="CP38" s="15" t="s">
        <v>1079</v>
      </c>
      <c r="CQ38" s="15"/>
      <c r="CR38" s="16" t="s">
        <v>1079</v>
      </c>
      <c r="CU38" s="14"/>
      <c r="CV38" s="483">
        <v>29</v>
      </c>
      <c r="CW38" s="1202"/>
      <c r="CX38" s="504" t="s">
        <v>198</v>
      </c>
      <c r="CY38" s="816">
        <f t="shared" si="4"/>
        <v>633.91</v>
      </c>
      <c r="CZ38" s="818">
        <f>BE49</f>
        <v>376.1</v>
      </c>
      <c r="DA38" s="30"/>
      <c r="DB38" s="23"/>
      <c r="DC38" s="15" t="s">
        <v>1079</v>
      </c>
      <c r="DD38" s="15"/>
      <c r="DE38" s="16" t="s">
        <v>1079</v>
      </c>
      <c r="DH38" s="14"/>
      <c r="DI38" s="61"/>
      <c r="DJ38" s="339"/>
      <c r="DK38" s="339"/>
      <c r="DL38" s="339"/>
      <c r="DM38" s="339"/>
      <c r="DN38" s="15"/>
      <c r="DQ38" s="16"/>
      <c r="DT38" s="14"/>
      <c r="DU38" s="18"/>
      <c r="EB38" s="24"/>
      <c r="EC38" s="16"/>
      <c r="EE38" s="66" t="s">
        <v>806</v>
      </c>
      <c r="EF38" s="65">
        <f t="shared" si="9"/>
        <v>0</v>
      </c>
      <c r="EH38" s="349"/>
      <c r="EI38" s="353"/>
      <c r="EJ38" s="131"/>
      <c r="EK38" s="318"/>
      <c r="EL38" s="29"/>
      <c r="EM38" s="23"/>
      <c r="EN38" s="29"/>
      <c r="EO38" s="15"/>
      <c r="EP38" s="15"/>
      <c r="EQ38" s="15"/>
      <c r="ER38" s="350"/>
    </row>
    <row r="39" spans="4:148" ht="13.5" customHeight="1">
      <c r="D39" s="284"/>
      <c r="G39" s="87"/>
      <c r="H39" s="87"/>
      <c r="I39" s="87"/>
      <c r="J39" s="87"/>
      <c r="L39" s="66" t="s">
        <v>808</v>
      </c>
      <c r="M39" s="65">
        <f t="shared" si="5"/>
        <v>272.5</v>
      </c>
      <c r="N39" s="44"/>
      <c r="O39" s="14"/>
      <c r="P39" s="452">
        <v>30</v>
      </c>
      <c r="Q39" s="1182"/>
      <c r="R39" s="450" t="s">
        <v>1312</v>
      </c>
      <c r="S39" s="806">
        <f>ROUNDDOWN(S40*0.75,2)</f>
        <v>408.75</v>
      </c>
      <c r="T39" s="23"/>
      <c r="U39" s="15"/>
      <c r="V39" s="1187" t="s">
        <v>901</v>
      </c>
      <c r="W39" s="479">
        <v>20</v>
      </c>
      <c r="X39" s="807">
        <f>ROUNDDOWN(X40/2,2)</f>
        <v>106.57</v>
      </c>
      <c r="Y39" s="29"/>
      <c r="Z39" s="16"/>
      <c r="AA39" s="18"/>
      <c r="AB39" s="66" t="s">
        <v>1457</v>
      </c>
      <c r="AC39" s="65">
        <f t="shared" si="6"/>
        <v>225</v>
      </c>
      <c r="AE39" s="14"/>
      <c r="AF39" s="452">
        <v>30</v>
      </c>
      <c r="AG39" s="1182"/>
      <c r="AH39" s="503" t="s">
        <v>1312</v>
      </c>
      <c r="AI39" s="806">
        <f>ROUNDDOWN(AI40*0.75,2)</f>
        <v>225</v>
      </c>
      <c r="AJ39" s="15"/>
      <c r="AK39" s="16"/>
      <c r="AL39" s="25"/>
      <c r="AO39" s="14"/>
      <c r="AP39" s="452">
        <v>30</v>
      </c>
      <c r="AQ39" s="1182"/>
      <c r="AR39" s="503" t="s">
        <v>1312</v>
      </c>
      <c r="AS39" s="809">
        <f t="shared" si="0"/>
        <v>408.75</v>
      </c>
      <c r="AT39" s="806">
        <f>ROUNDDOWN(AT40*0.75,2)</f>
        <v>8.7</v>
      </c>
      <c r="AU39" s="15"/>
      <c r="AV39" s="16"/>
      <c r="AW39" s="44"/>
      <c r="AX39" s="25"/>
      <c r="AZ39" s="14"/>
      <c r="BA39" s="452">
        <v>30</v>
      </c>
      <c r="BB39" s="1215"/>
      <c r="BC39" s="503" t="s">
        <v>1312</v>
      </c>
      <c r="BD39" s="809">
        <f t="shared" si="1"/>
        <v>408.75</v>
      </c>
      <c r="BE39" s="806">
        <f>ROUNDDOWN(BE40*0.75,2)</f>
        <v>104.62</v>
      </c>
      <c r="BF39" s="18"/>
      <c r="BG39" s="34"/>
      <c r="BJ39" s="14"/>
      <c r="BK39" s="15"/>
      <c r="BL39" s="15"/>
      <c r="BM39" s="15"/>
      <c r="BN39" s="15"/>
      <c r="BO39" s="15"/>
      <c r="BP39" s="15"/>
      <c r="BQ39" s="15"/>
      <c r="BR39" s="34"/>
      <c r="BS39" s="27"/>
      <c r="BT39" s="38"/>
      <c r="BU39" s="475">
        <v>30</v>
      </c>
      <c r="BV39" s="1181" t="s">
        <v>173</v>
      </c>
      <c r="BW39" s="472" t="s">
        <v>1302</v>
      </c>
      <c r="BX39" s="812">
        <f>X12</f>
        <v>1604.77</v>
      </c>
      <c r="BY39" s="959">
        <f>PARC_TEC_CIEN_20</f>
        <v>0</v>
      </c>
      <c r="CA39" s="323"/>
      <c r="CB39" s="323"/>
      <c r="CC39" s="16" t="s">
        <v>704</v>
      </c>
      <c r="CE39" s="66" t="s">
        <v>809</v>
      </c>
      <c r="CF39" s="65">
        <f t="shared" si="2"/>
        <v>1604.77</v>
      </c>
      <c r="CH39" s="14"/>
      <c r="CI39" s="488">
        <v>30</v>
      </c>
      <c r="CJ39" s="1191" t="s">
        <v>173</v>
      </c>
      <c r="CK39" s="505" t="s">
        <v>1302</v>
      </c>
      <c r="CL39" s="817">
        <f t="shared" si="3"/>
        <v>1604.77</v>
      </c>
      <c r="CM39" s="496"/>
      <c r="CN39" s="959"/>
      <c r="CO39" s="23"/>
      <c r="CP39" s="15" t="s">
        <v>704</v>
      </c>
      <c r="CQ39" s="15"/>
      <c r="CR39" s="16" t="s">
        <v>1079</v>
      </c>
      <c r="CU39" s="14"/>
      <c r="CV39" s="488">
        <v>30</v>
      </c>
      <c r="CW39" s="1191" t="s">
        <v>173</v>
      </c>
      <c r="CX39" s="505" t="s">
        <v>1302</v>
      </c>
      <c r="CY39" s="817">
        <f t="shared" si="4"/>
        <v>1604.77</v>
      </c>
      <c r="CZ39" s="496"/>
      <c r="DA39" s="959">
        <f>PARC_TEC_CIEN_20</f>
        <v>0</v>
      </c>
      <c r="DB39" s="23"/>
      <c r="DC39" s="15" t="s">
        <v>704</v>
      </c>
      <c r="DD39" s="15"/>
      <c r="DE39" s="16" t="s">
        <v>1079</v>
      </c>
      <c r="DH39" s="14"/>
      <c r="DJ39" s="111"/>
      <c r="DK39" s="111"/>
      <c r="DL39" s="111"/>
      <c r="DM39" s="111"/>
      <c r="DN39" s="111"/>
      <c r="DP39" s="111"/>
      <c r="DQ39" s="211"/>
      <c r="DT39" s="14"/>
      <c r="DU39" s="18"/>
      <c r="EB39" s="24"/>
      <c r="EC39" s="16"/>
      <c r="EE39" s="66" t="s">
        <v>807</v>
      </c>
      <c r="EF39" s="65">
        <f t="shared" si="9"/>
        <v>0</v>
      </c>
      <c r="EH39" s="349"/>
      <c r="EI39" s="353"/>
      <c r="EJ39" s="131"/>
      <c r="EK39" s="318"/>
      <c r="EL39" s="29"/>
      <c r="EM39" s="23"/>
      <c r="EN39" s="15"/>
      <c r="EO39" s="15"/>
      <c r="EP39" s="15"/>
      <c r="EQ39" s="15"/>
      <c r="ER39" s="350"/>
    </row>
    <row r="40" spans="2:148" ht="12.75">
      <c r="B40" s="26"/>
      <c r="D40" s="284"/>
      <c r="G40" s="87"/>
      <c r="H40" s="87"/>
      <c r="I40" s="87"/>
      <c r="J40" s="87"/>
      <c r="L40" s="66" t="s">
        <v>809</v>
      </c>
      <c r="M40" s="65">
        <f t="shared" si="5"/>
        <v>408.75</v>
      </c>
      <c r="N40" s="44"/>
      <c r="O40" s="14"/>
      <c r="P40" s="1024">
        <v>31</v>
      </c>
      <c r="Q40" s="1202"/>
      <c r="R40" s="474" t="s">
        <v>198</v>
      </c>
      <c r="S40" s="1023">
        <f>VLOOKUP("TV GERAL 10 40H",RHE,10,FALSE)</f>
        <v>545.01</v>
      </c>
      <c r="T40" s="23"/>
      <c r="U40" s="15"/>
      <c r="V40" s="1188"/>
      <c r="W40" s="479">
        <v>40</v>
      </c>
      <c r="X40" s="807">
        <f>ROUNDDOWN((PISO_40H)*0.6,2)</f>
        <v>213.15</v>
      </c>
      <c r="Y40" s="15"/>
      <c r="Z40" s="16"/>
      <c r="AA40" s="18"/>
      <c r="AB40" s="66" t="s">
        <v>1458</v>
      </c>
      <c r="AC40" s="65">
        <f t="shared" si="6"/>
        <v>300</v>
      </c>
      <c r="AE40" s="14"/>
      <c r="AF40" s="483">
        <v>31</v>
      </c>
      <c r="AG40" s="1192"/>
      <c r="AH40" s="507" t="s">
        <v>198</v>
      </c>
      <c r="AI40" s="807">
        <f>VLOOKUP("TV GERAL 10 40H",RHE,18,FALSE)</f>
        <v>300</v>
      </c>
      <c r="AJ40" s="15"/>
      <c r="AK40" s="16"/>
      <c r="AL40" s="25"/>
      <c r="AO40" s="14"/>
      <c r="AP40" s="483">
        <v>31</v>
      </c>
      <c r="AQ40" s="1192"/>
      <c r="AR40" s="507" t="s">
        <v>198</v>
      </c>
      <c r="AS40" s="816">
        <f t="shared" si="0"/>
        <v>545.01</v>
      </c>
      <c r="AT40" s="818">
        <f>VLOOKUP("TV GERAL 10 40H",RHE,12,FALSE)</f>
        <v>11.6</v>
      </c>
      <c r="AU40" s="15"/>
      <c r="AV40" s="16"/>
      <c r="AW40" s="44"/>
      <c r="AX40" s="25"/>
      <c r="AZ40" s="14"/>
      <c r="BA40" s="483">
        <v>31</v>
      </c>
      <c r="BB40" s="1215"/>
      <c r="BC40" s="507" t="s">
        <v>198</v>
      </c>
      <c r="BD40" s="816">
        <f t="shared" si="1"/>
        <v>545.01</v>
      </c>
      <c r="BE40" s="818">
        <f>VLOOKUP("TV GERAL 10 40H",RHE,14,FALSE)</f>
        <v>139.5</v>
      </c>
      <c r="BF40" s="18"/>
      <c r="BG40" s="34"/>
      <c r="BJ40" s="14"/>
      <c r="BK40" s="15"/>
      <c r="BL40" s="15"/>
      <c r="BM40" s="15"/>
      <c r="BN40" s="15"/>
      <c r="BO40" s="15"/>
      <c r="BP40" s="15"/>
      <c r="BQ40" s="15"/>
      <c r="BR40" s="34"/>
      <c r="BS40" s="27"/>
      <c r="BT40" s="38"/>
      <c r="BU40" s="452">
        <v>31</v>
      </c>
      <c r="BV40" s="1182"/>
      <c r="BW40" s="450" t="s">
        <v>1312</v>
      </c>
      <c r="BX40" s="806">
        <f>X13</f>
        <v>2407.15</v>
      </c>
      <c r="BY40" s="959">
        <f>PARC_TEC_CIEN_30</f>
        <v>0</v>
      </c>
      <c r="CA40" s="323"/>
      <c r="CB40" s="15"/>
      <c r="CC40" s="16"/>
      <c r="CE40" s="66" t="s">
        <v>705</v>
      </c>
      <c r="CF40" s="65">
        <f t="shared" si="2"/>
        <v>2407.15</v>
      </c>
      <c r="CH40" s="14"/>
      <c r="CI40" s="452">
        <v>31</v>
      </c>
      <c r="CJ40" s="1182"/>
      <c r="CK40" s="450" t="s">
        <v>1312</v>
      </c>
      <c r="CL40" s="809">
        <f t="shared" si="3"/>
        <v>2407.15</v>
      </c>
      <c r="CM40" s="451"/>
      <c r="CN40" s="959"/>
      <c r="CO40" s="23"/>
      <c r="CP40" s="15"/>
      <c r="CQ40" s="15"/>
      <c r="CR40" s="16"/>
      <c r="CU40" s="14"/>
      <c r="CV40" s="452">
        <v>31</v>
      </c>
      <c r="CW40" s="1182"/>
      <c r="CX40" s="450" t="s">
        <v>1312</v>
      </c>
      <c r="CY40" s="809">
        <f t="shared" si="4"/>
        <v>2407.15</v>
      </c>
      <c r="CZ40" s="451"/>
      <c r="DA40" s="959">
        <f>PARC_TEC_CIEN_30</f>
        <v>0</v>
      </c>
      <c r="DB40" s="23"/>
      <c r="DC40" s="15"/>
      <c r="DD40" s="15"/>
      <c r="DE40" s="16" t="s">
        <v>1079</v>
      </c>
      <c r="DH40" s="14"/>
      <c r="DJ40" s="61"/>
      <c r="DK40" s="29"/>
      <c r="DL40" s="29"/>
      <c r="DM40" s="30"/>
      <c r="DN40" s="15"/>
      <c r="DQ40" s="16"/>
      <c r="DT40" s="14"/>
      <c r="DU40" s="18"/>
      <c r="EB40" s="24"/>
      <c r="EC40" s="16"/>
      <c r="EE40" s="66" t="s">
        <v>808</v>
      </c>
      <c r="EF40" s="65">
        <f t="shared" si="9"/>
        <v>0</v>
      </c>
      <c r="EH40" s="349"/>
      <c r="EI40" s="353"/>
      <c r="EJ40" s="131"/>
      <c r="EK40" s="318"/>
      <c r="EL40" s="29"/>
      <c r="EM40" s="23"/>
      <c r="EN40" s="15"/>
      <c r="EO40" s="15"/>
      <c r="EP40" s="15"/>
      <c r="EQ40" s="15"/>
      <c r="ER40" s="350"/>
    </row>
    <row r="41" spans="1:148" ht="12.75">
      <c r="A41" s="787"/>
      <c r="B41" s="793"/>
      <c r="C41" s="768"/>
      <c r="D41" s="284"/>
      <c r="G41" s="87"/>
      <c r="H41" s="87"/>
      <c r="I41" s="87"/>
      <c r="J41" s="87"/>
      <c r="L41" s="66" t="s">
        <v>705</v>
      </c>
      <c r="M41" s="65">
        <f t="shared" si="5"/>
        <v>545.01</v>
      </c>
      <c r="N41" s="44"/>
      <c r="O41" s="14"/>
      <c r="P41" s="475">
        <v>32</v>
      </c>
      <c r="Q41" s="1181" t="s">
        <v>161</v>
      </c>
      <c r="R41" s="472" t="s">
        <v>1302</v>
      </c>
      <c r="S41" s="806">
        <f>ROUNDDOWN(S43*0.5,2)</f>
        <v>286.43</v>
      </c>
      <c r="T41" s="23"/>
      <c r="V41" s="1028" t="s">
        <v>902</v>
      </c>
      <c r="W41" s="478">
        <v>20</v>
      </c>
      <c r="X41" s="812">
        <f>ROUNDDOWN(X42/2,2)</f>
        <v>142.1</v>
      </c>
      <c r="Y41" s="15"/>
      <c r="Z41" s="16"/>
      <c r="AA41" s="18"/>
      <c r="AB41" s="66" t="s">
        <v>1459</v>
      </c>
      <c r="AC41" s="65">
        <f t="shared" si="6"/>
        <v>140</v>
      </c>
      <c r="AE41" s="14"/>
      <c r="AF41" s="488">
        <v>32</v>
      </c>
      <c r="AG41" s="1191" t="s">
        <v>161</v>
      </c>
      <c r="AH41" s="509" t="s">
        <v>1302</v>
      </c>
      <c r="AI41" s="819">
        <f>ROUNDDOWN(AI43*0.5,2)</f>
        <v>140</v>
      </c>
      <c r="AJ41" s="15"/>
      <c r="AK41" s="16"/>
      <c r="AL41" s="25"/>
      <c r="AO41" s="14"/>
      <c r="AP41" s="488">
        <v>32</v>
      </c>
      <c r="AQ41" s="1191" t="s">
        <v>161</v>
      </c>
      <c r="AR41" s="509" t="s">
        <v>1302</v>
      </c>
      <c r="AS41" s="817">
        <f t="shared" si="0"/>
        <v>286.43</v>
      </c>
      <c r="AT41" s="819">
        <f>ROUNDDOWN(AT43*0.5,2)</f>
        <v>5.8</v>
      </c>
      <c r="AU41" s="15"/>
      <c r="AV41" s="16"/>
      <c r="AW41" s="44"/>
      <c r="AX41" s="25"/>
      <c r="AZ41" s="14"/>
      <c r="BA41" s="488">
        <v>32</v>
      </c>
      <c r="BB41" s="1215" t="s">
        <v>161</v>
      </c>
      <c r="BC41" s="509" t="s">
        <v>1302</v>
      </c>
      <c r="BD41" s="817">
        <f t="shared" si="1"/>
        <v>286.43</v>
      </c>
      <c r="BE41" s="819">
        <f>ROUNDDOWN(BE43*0.5,2)</f>
        <v>125.9</v>
      </c>
      <c r="BF41" s="18"/>
      <c r="BG41" s="34"/>
      <c r="BJ41" s="14"/>
      <c r="BK41" s="15"/>
      <c r="BL41" s="15"/>
      <c r="BM41" s="15"/>
      <c r="BN41" s="15"/>
      <c r="BO41" s="15"/>
      <c r="BP41" s="15"/>
      <c r="BQ41" s="15"/>
      <c r="BR41" s="34"/>
      <c r="BS41" s="27"/>
      <c r="BT41" s="38"/>
      <c r="BU41" s="452">
        <v>32</v>
      </c>
      <c r="BV41" s="1182"/>
      <c r="BW41" s="450" t="s">
        <v>1318</v>
      </c>
      <c r="BX41" s="806">
        <f>ROUNDDOWN(BX42/40*36,2)</f>
        <v>2888.58</v>
      </c>
      <c r="BY41" s="959">
        <f>PARC_TEC_CIEN_36</f>
        <v>0</v>
      </c>
      <c r="CA41" s="323"/>
      <c r="CC41" s="16"/>
      <c r="CE41" s="66" t="s">
        <v>706</v>
      </c>
      <c r="CF41" s="65">
        <f t="shared" si="2"/>
        <v>2888.58</v>
      </c>
      <c r="CH41" s="14"/>
      <c r="CI41" s="452">
        <v>32</v>
      </c>
      <c r="CJ41" s="1182"/>
      <c r="CK41" s="450" t="s">
        <v>1318</v>
      </c>
      <c r="CL41" s="809">
        <f t="shared" si="3"/>
        <v>2888.58</v>
      </c>
      <c r="CM41" s="451"/>
      <c r="CN41" s="959"/>
      <c r="CO41" s="23"/>
      <c r="CP41" s="15"/>
      <c r="CQ41" s="15"/>
      <c r="CR41" s="16"/>
      <c r="CU41" s="14"/>
      <c r="CV41" s="452">
        <v>32</v>
      </c>
      <c r="CW41" s="1182"/>
      <c r="CX41" s="450" t="s">
        <v>1318</v>
      </c>
      <c r="CY41" s="809">
        <f t="shared" si="4"/>
        <v>2888.58</v>
      </c>
      <c r="CZ41" s="451"/>
      <c r="DA41" s="959">
        <f>PARC_TEC_CIEN_36</f>
        <v>0</v>
      </c>
      <c r="DB41" s="23"/>
      <c r="DC41" s="15"/>
      <c r="DD41" s="15"/>
      <c r="DE41" s="16"/>
      <c r="DH41" s="14"/>
      <c r="DJ41" s="111"/>
      <c r="DK41" s="111"/>
      <c r="DL41" s="111"/>
      <c r="DM41" s="111"/>
      <c r="DN41" s="111"/>
      <c r="DQ41" s="16"/>
      <c r="DT41" s="14"/>
      <c r="DU41" s="18"/>
      <c r="EB41" s="24"/>
      <c r="EC41" s="16"/>
      <c r="EE41" s="66" t="s">
        <v>809</v>
      </c>
      <c r="EF41" s="65">
        <f t="shared" si="9"/>
        <v>0</v>
      </c>
      <c r="EH41" s="349"/>
      <c r="EI41" s="353"/>
      <c r="EJ41" s="131"/>
      <c r="EK41" s="318"/>
      <c r="EL41" s="29"/>
      <c r="EM41" s="23"/>
      <c r="EN41" s="15"/>
      <c r="EO41" s="15"/>
      <c r="EP41" s="15"/>
      <c r="EQ41" s="15"/>
      <c r="ER41" s="350"/>
    </row>
    <row r="42" spans="4:148" ht="12.75">
      <c r="D42" s="284"/>
      <c r="G42" s="87"/>
      <c r="H42" s="87"/>
      <c r="I42" s="87"/>
      <c r="J42" s="87"/>
      <c r="L42" s="66" t="s">
        <v>706</v>
      </c>
      <c r="M42" s="65">
        <f t="shared" si="5"/>
        <v>286.43</v>
      </c>
      <c r="N42" s="44"/>
      <c r="O42" s="14"/>
      <c r="P42" s="452">
        <v>33</v>
      </c>
      <c r="Q42" s="1182"/>
      <c r="R42" s="450" t="s">
        <v>1312</v>
      </c>
      <c r="S42" s="806">
        <f>ROUNDDOWN(S43*0.75,2)</f>
        <v>429.64</v>
      </c>
      <c r="T42" s="23"/>
      <c r="V42" s="1029"/>
      <c r="W42" s="479">
        <v>40</v>
      </c>
      <c r="X42" s="807">
        <f>ROUNDDOWN((PISO_40H)*0.8,2)</f>
        <v>284.2</v>
      </c>
      <c r="Y42" s="341"/>
      <c r="Z42" s="16"/>
      <c r="AA42" s="18"/>
      <c r="AB42" s="66" t="s">
        <v>1460</v>
      </c>
      <c r="AC42" s="65">
        <f t="shared" si="6"/>
        <v>210</v>
      </c>
      <c r="AE42" s="14"/>
      <c r="AF42" s="452">
        <v>33</v>
      </c>
      <c r="AG42" s="1182"/>
      <c r="AH42" s="503" t="s">
        <v>1312</v>
      </c>
      <c r="AI42" s="806">
        <f>ROUNDDOWN(AI43*0.75,2)</f>
        <v>210</v>
      </c>
      <c r="AJ42" s="15"/>
      <c r="AK42" s="16"/>
      <c r="AL42" s="25"/>
      <c r="AO42" s="14"/>
      <c r="AP42" s="452">
        <v>33</v>
      </c>
      <c r="AQ42" s="1182"/>
      <c r="AR42" s="503" t="s">
        <v>1312</v>
      </c>
      <c r="AS42" s="809">
        <f aca="true" t="shared" si="12" ref="AS42:AS58">S42</f>
        <v>429.64</v>
      </c>
      <c r="AT42" s="806">
        <f>ROUNDDOWN(AT43*0.75,2)</f>
        <v>8.7</v>
      </c>
      <c r="AU42" s="15"/>
      <c r="AV42" s="16"/>
      <c r="AW42" s="44"/>
      <c r="AX42" s="25"/>
      <c r="AZ42" s="14"/>
      <c r="BA42" s="452">
        <v>33</v>
      </c>
      <c r="BB42" s="1215"/>
      <c r="BC42" s="503" t="s">
        <v>1312</v>
      </c>
      <c r="BD42" s="809">
        <f aca="true" t="shared" si="13" ref="BD42:BD58">S42</f>
        <v>429.64</v>
      </c>
      <c r="BE42" s="806">
        <f>ROUNDDOWN(BE43*0.75,2)</f>
        <v>188.85</v>
      </c>
      <c r="BF42" s="18"/>
      <c r="BG42" s="34"/>
      <c r="BJ42" s="14"/>
      <c r="BK42" s="15"/>
      <c r="BL42" s="15"/>
      <c r="BM42" s="15"/>
      <c r="BN42" s="15"/>
      <c r="BO42" s="15"/>
      <c r="BP42" s="15"/>
      <c r="BQ42" s="15"/>
      <c r="BR42" s="34"/>
      <c r="BS42" s="27"/>
      <c r="BT42" s="38"/>
      <c r="BU42" s="477">
        <v>33</v>
      </c>
      <c r="BV42" s="1202"/>
      <c r="BW42" s="474" t="s">
        <v>198</v>
      </c>
      <c r="BX42" s="807">
        <f>X14</f>
        <v>3209.54</v>
      </c>
      <c r="BY42" s="959">
        <f>PARC_TEC_CIEN_40</f>
        <v>0</v>
      </c>
      <c r="CA42" s="323"/>
      <c r="CC42" s="16"/>
      <c r="CE42" s="66" t="s">
        <v>707</v>
      </c>
      <c r="CF42" s="65">
        <f aca="true" t="shared" si="14" ref="CF42:CF59">CL42</f>
        <v>3209.54</v>
      </c>
      <c r="CH42" s="14"/>
      <c r="CI42" s="483">
        <v>33</v>
      </c>
      <c r="CJ42" s="1202"/>
      <c r="CK42" s="504" t="s">
        <v>198</v>
      </c>
      <c r="CL42" s="816">
        <f aca="true" t="shared" si="15" ref="CL42:CL59">BX42</f>
        <v>3209.54</v>
      </c>
      <c r="CM42" s="494"/>
      <c r="CN42" s="959"/>
      <c r="CO42" s="23"/>
      <c r="CP42" s="15"/>
      <c r="CQ42" s="15"/>
      <c r="CR42" s="16"/>
      <c r="CU42" s="14"/>
      <c r="CV42" s="483">
        <v>33</v>
      </c>
      <c r="CW42" s="1202"/>
      <c r="CX42" s="504" t="s">
        <v>198</v>
      </c>
      <c r="CY42" s="816">
        <f aca="true" t="shared" si="16" ref="CY42:CY59">BX42</f>
        <v>3209.54</v>
      </c>
      <c r="CZ42" s="494"/>
      <c r="DA42" s="959">
        <f>PARC_TEC_CIEN_40</f>
        <v>0</v>
      </c>
      <c r="DB42" s="23"/>
      <c r="DC42" s="15"/>
      <c r="DD42" s="15"/>
      <c r="DE42" s="16"/>
      <c r="DH42" s="14"/>
      <c r="DQ42" s="16"/>
      <c r="DT42" s="14"/>
      <c r="DU42" s="18"/>
      <c r="EB42" s="24"/>
      <c r="EC42" s="16"/>
      <c r="EE42" s="66" t="s">
        <v>705</v>
      </c>
      <c r="EF42" s="65">
        <f t="shared" si="9"/>
        <v>0</v>
      </c>
      <c r="EH42" s="349"/>
      <c r="EI42" s="353"/>
      <c r="EJ42" s="131"/>
      <c r="EK42" s="318"/>
      <c r="EL42" s="29"/>
      <c r="EM42" s="23"/>
      <c r="EN42" s="341"/>
      <c r="EO42" s="341"/>
      <c r="EP42" s="341"/>
      <c r="EQ42" s="341"/>
      <c r="ER42" s="350"/>
    </row>
    <row r="43" spans="4:148" ht="12.75">
      <c r="D43" s="284"/>
      <c r="G43" s="87"/>
      <c r="H43" s="87"/>
      <c r="I43" s="87"/>
      <c r="J43" s="87"/>
      <c r="L43" s="66" t="s">
        <v>707</v>
      </c>
      <c r="M43" s="65">
        <f t="shared" si="5"/>
        <v>429.64</v>
      </c>
      <c r="N43" s="44"/>
      <c r="O43" s="14"/>
      <c r="P43" s="1024">
        <v>34</v>
      </c>
      <c r="Q43" s="1202"/>
      <c r="R43" s="474" t="s">
        <v>198</v>
      </c>
      <c r="S43" s="1023">
        <f>VLOOKUP("TV GERAL 11 40H",RHE,10,FALSE)</f>
        <v>572.86</v>
      </c>
      <c r="T43" s="23"/>
      <c r="U43" s="15"/>
      <c r="V43" s="1028" t="s">
        <v>903</v>
      </c>
      <c r="W43" s="478">
        <v>20</v>
      </c>
      <c r="X43" s="812">
        <f>ROUNDDOWN(X44/2,2)</f>
        <v>177.62</v>
      </c>
      <c r="Y43" s="15"/>
      <c r="Z43" s="16"/>
      <c r="AA43" s="18"/>
      <c r="AB43" s="66" t="s">
        <v>1461</v>
      </c>
      <c r="AC43" s="65">
        <f t="shared" si="6"/>
        <v>280</v>
      </c>
      <c r="AE43" s="14"/>
      <c r="AF43" s="483">
        <v>34</v>
      </c>
      <c r="AG43" s="1192"/>
      <c r="AH43" s="507" t="s">
        <v>198</v>
      </c>
      <c r="AI43" s="807">
        <f>VLOOKUP("TV GERAL 11 40H",RHE,18,FALSE)</f>
        <v>280</v>
      </c>
      <c r="AJ43" s="15"/>
      <c r="AK43" s="16"/>
      <c r="AL43" s="25"/>
      <c r="AO43" s="14"/>
      <c r="AP43" s="483">
        <v>34</v>
      </c>
      <c r="AQ43" s="1192"/>
      <c r="AR43" s="507" t="s">
        <v>198</v>
      </c>
      <c r="AS43" s="816">
        <f t="shared" si="12"/>
        <v>572.86</v>
      </c>
      <c r="AT43" s="818">
        <f>VLOOKUP("TV GERAL 11 40H",RHE,12,FALSE)</f>
        <v>11.6</v>
      </c>
      <c r="AU43" s="15"/>
      <c r="AV43" s="16"/>
      <c r="AW43" s="44"/>
      <c r="AX43" s="25"/>
      <c r="AZ43" s="14"/>
      <c r="BA43" s="483">
        <v>34</v>
      </c>
      <c r="BB43" s="1215"/>
      <c r="BC43" s="507" t="s">
        <v>198</v>
      </c>
      <c r="BD43" s="816">
        <f t="shared" si="13"/>
        <v>572.86</v>
      </c>
      <c r="BE43" s="818">
        <f>VLOOKUP("TV GERAL 11 40H",RHE,14,FALSE)</f>
        <v>251.8</v>
      </c>
      <c r="BF43" s="18"/>
      <c r="BG43" s="34"/>
      <c r="BJ43" s="14"/>
      <c r="BK43" s="15"/>
      <c r="BL43" s="15"/>
      <c r="BM43" s="15"/>
      <c r="BN43" s="15"/>
      <c r="BO43" s="15"/>
      <c r="BP43" s="15"/>
      <c r="BQ43" s="15"/>
      <c r="BR43" s="34"/>
      <c r="BS43" s="27"/>
      <c r="BT43" s="38"/>
      <c r="BU43" s="475">
        <v>34</v>
      </c>
      <c r="BV43" s="1217" t="s">
        <v>1049</v>
      </c>
      <c r="BW43" s="1217"/>
      <c r="BX43" s="812">
        <f>ROUNDDOWN(BX49*0.25,2)</f>
        <v>181</v>
      </c>
      <c r="BY43" s="15"/>
      <c r="BZ43" s="23"/>
      <c r="CC43" s="16"/>
      <c r="CE43" s="66" t="s">
        <v>92</v>
      </c>
      <c r="CF43" s="65">
        <f t="shared" si="14"/>
        <v>181</v>
      </c>
      <c r="CH43" s="14"/>
      <c r="CI43" s="488">
        <v>34</v>
      </c>
      <c r="CJ43" s="1208" t="s">
        <v>1049</v>
      </c>
      <c r="CK43" s="1208"/>
      <c r="CL43" s="817">
        <f t="shared" si="15"/>
        <v>181</v>
      </c>
      <c r="CM43" s="496"/>
      <c r="CN43" s="15"/>
      <c r="CO43" s="23"/>
      <c r="CP43" s="15"/>
      <c r="CQ43" s="15"/>
      <c r="CR43" s="16"/>
      <c r="CU43" s="14"/>
      <c r="CV43" s="488">
        <v>34</v>
      </c>
      <c r="CW43" s="1208" t="s">
        <v>1049</v>
      </c>
      <c r="CX43" s="1208"/>
      <c r="CY43" s="817">
        <f t="shared" si="16"/>
        <v>181</v>
      </c>
      <c r="CZ43" s="496"/>
      <c r="DA43" s="15"/>
      <c r="DB43" s="23"/>
      <c r="DC43" s="15"/>
      <c r="DD43" s="15"/>
      <c r="DE43" s="16"/>
      <c r="DH43" s="14"/>
      <c r="DQ43" s="16"/>
      <c r="DT43" s="14"/>
      <c r="DU43" s="18"/>
      <c r="DV43" s="15"/>
      <c r="DW43" s="15"/>
      <c r="DX43" s="15"/>
      <c r="DY43" s="15"/>
      <c r="DZ43" s="15"/>
      <c r="EA43" s="15"/>
      <c r="EB43" s="15"/>
      <c r="EC43" s="16"/>
      <c r="EE43" s="66" t="s">
        <v>706</v>
      </c>
      <c r="EF43" s="65">
        <f t="shared" si="9"/>
        <v>0</v>
      </c>
      <c r="EH43" s="349"/>
      <c r="EI43" s="353"/>
      <c r="EJ43" s="131"/>
      <c r="EK43" s="318"/>
      <c r="EL43" s="29"/>
      <c r="EM43" s="23"/>
      <c r="EN43" s="15"/>
      <c r="EO43" s="15"/>
      <c r="EP43" s="15"/>
      <c r="EQ43" s="15"/>
      <c r="ER43" s="350"/>
    </row>
    <row r="44" spans="4:148" ht="12.75">
      <c r="D44" s="284"/>
      <c r="G44" s="87"/>
      <c r="H44" s="87"/>
      <c r="I44" s="87"/>
      <c r="J44" s="87"/>
      <c r="L44" s="66" t="s">
        <v>92</v>
      </c>
      <c r="M44" s="65">
        <f t="shared" si="5"/>
        <v>572.86</v>
      </c>
      <c r="N44" s="44"/>
      <c r="O44" s="14"/>
      <c r="P44" s="475">
        <v>35</v>
      </c>
      <c r="Q44" s="1181" t="s">
        <v>162</v>
      </c>
      <c r="R44" s="472" t="s">
        <v>1302</v>
      </c>
      <c r="S44" s="806">
        <f>ROUNDDOWN(S46*0.5,2)</f>
        <v>301.25</v>
      </c>
      <c r="T44" s="23"/>
      <c r="U44" s="131"/>
      <c r="V44" s="1029"/>
      <c r="W44" s="479">
        <v>40</v>
      </c>
      <c r="X44" s="814">
        <f>PISO_40H</f>
        <v>355.25</v>
      </c>
      <c r="Y44" s="30"/>
      <c r="Z44" s="16"/>
      <c r="AA44" s="18"/>
      <c r="AB44" s="66" t="s">
        <v>1462</v>
      </c>
      <c r="AC44" s="65">
        <f t="shared" si="6"/>
        <v>130</v>
      </c>
      <c r="AE44" s="14"/>
      <c r="AF44" s="488">
        <v>35</v>
      </c>
      <c r="AG44" s="1191" t="s">
        <v>162</v>
      </c>
      <c r="AH44" s="509" t="s">
        <v>1302</v>
      </c>
      <c r="AI44" s="819">
        <f>ROUNDDOWN(AI46*0.5,2)</f>
        <v>130</v>
      </c>
      <c r="AJ44" s="15"/>
      <c r="AK44" s="16"/>
      <c r="AL44" s="25"/>
      <c r="AO44" s="14"/>
      <c r="AP44" s="488">
        <v>35</v>
      </c>
      <c r="AQ44" s="1191" t="s">
        <v>162</v>
      </c>
      <c r="AR44" s="509" t="s">
        <v>1302</v>
      </c>
      <c r="AS44" s="817">
        <f t="shared" si="12"/>
        <v>301.25</v>
      </c>
      <c r="AT44" s="819">
        <f>ROUNDDOWN(AT46*0.5,2)</f>
        <v>5.8</v>
      </c>
      <c r="AU44" s="15"/>
      <c r="AV44" s="16"/>
      <c r="AW44" s="44"/>
      <c r="AX44" s="25"/>
      <c r="AZ44" s="14"/>
      <c r="BA44" s="488">
        <v>35</v>
      </c>
      <c r="BB44" s="1215" t="s">
        <v>162</v>
      </c>
      <c r="BC44" s="509" t="s">
        <v>1302</v>
      </c>
      <c r="BD44" s="817">
        <f t="shared" si="13"/>
        <v>301.25</v>
      </c>
      <c r="BE44" s="819">
        <f>ROUNDDOWN(BE46*0.5,2)</f>
        <v>125.9</v>
      </c>
      <c r="BF44" s="18"/>
      <c r="BG44" s="34"/>
      <c r="BJ44" s="14"/>
      <c r="BK44" s="15"/>
      <c r="BL44" s="15"/>
      <c r="BM44" s="15"/>
      <c r="BN44" s="15"/>
      <c r="BO44" s="15"/>
      <c r="BP44" s="15"/>
      <c r="BQ44" s="15"/>
      <c r="BR44" s="34"/>
      <c r="BS44" s="27"/>
      <c r="BT44" s="38"/>
      <c r="BU44" s="452">
        <v>35</v>
      </c>
      <c r="BV44" s="1207" t="s">
        <v>1044</v>
      </c>
      <c r="BW44" s="1207"/>
      <c r="BX44" s="806">
        <f>ROUNDDOWN(BX49*0.5,2)</f>
        <v>362</v>
      </c>
      <c r="BY44" s="30"/>
      <c r="BZ44" s="23"/>
      <c r="CC44" s="16"/>
      <c r="CE44" s="66" t="s">
        <v>93</v>
      </c>
      <c r="CF44" s="65">
        <f t="shared" si="14"/>
        <v>362</v>
      </c>
      <c r="CH44" s="14"/>
      <c r="CI44" s="452">
        <v>35</v>
      </c>
      <c r="CJ44" s="1207" t="s">
        <v>1044</v>
      </c>
      <c r="CK44" s="1207"/>
      <c r="CL44" s="809">
        <f t="shared" si="15"/>
        <v>362</v>
      </c>
      <c r="CM44" s="451"/>
      <c r="CN44" s="30"/>
      <c r="CO44" s="23"/>
      <c r="CP44" s="15"/>
      <c r="CQ44" s="15"/>
      <c r="CR44" s="16"/>
      <c r="CU44" s="14"/>
      <c r="CV44" s="452">
        <v>35</v>
      </c>
      <c r="CW44" s="1207" t="s">
        <v>1044</v>
      </c>
      <c r="CX44" s="1207"/>
      <c r="CY44" s="809">
        <f t="shared" si="16"/>
        <v>362</v>
      </c>
      <c r="CZ44" s="451"/>
      <c r="DA44" s="30"/>
      <c r="DB44" s="23"/>
      <c r="DC44" s="15"/>
      <c r="DD44" s="15"/>
      <c r="DE44" s="16"/>
      <c r="DH44" s="14"/>
      <c r="DQ44" s="16"/>
      <c r="DT44" s="14"/>
      <c r="DU44" s="18"/>
      <c r="DV44" s="15"/>
      <c r="DW44" s="15"/>
      <c r="DX44" s="15"/>
      <c r="DY44" s="15"/>
      <c r="DZ44" s="15"/>
      <c r="EA44" s="15"/>
      <c r="EB44" s="15"/>
      <c r="EC44" s="16"/>
      <c r="EE44" s="66" t="s">
        <v>707</v>
      </c>
      <c r="EF44" s="65">
        <f t="shared" si="9"/>
        <v>0</v>
      </c>
      <c r="EH44" s="349"/>
      <c r="EI44" s="353"/>
      <c r="EJ44" s="131"/>
      <c r="EK44" s="318"/>
      <c r="EL44" s="29"/>
      <c r="EM44" s="23"/>
      <c r="EN44" s="131"/>
      <c r="EO44" s="131"/>
      <c r="EP44" s="131"/>
      <c r="EQ44" s="29"/>
      <c r="ER44" s="350"/>
    </row>
    <row r="45" spans="4:148" ht="12.75">
      <c r="D45" s="284"/>
      <c r="G45" s="87"/>
      <c r="H45" s="87"/>
      <c r="I45" s="87"/>
      <c r="J45" s="87"/>
      <c r="L45" s="66" t="s">
        <v>93</v>
      </c>
      <c r="M45" s="65">
        <f t="shared" si="5"/>
        <v>301.25</v>
      </c>
      <c r="N45" s="44"/>
      <c r="O45" s="14"/>
      <c r="P45" s="452">
        <v>36</v>
      </c>
      <c r="Q45" s="1182"/>
      <c r="R45" s="450" t="s">
        <v>1312</v>
      </c>
      <c r="S45" s="806">
        <f>ROUNDDOWN(S46*0.75,2)</f>
        <v>451.87</v>
      </c>
      <c r="T45" s="23"/>
      <c r="U45" s="131"/>
      <c r="V45" s="1210" t="s">
        <v>6</v>
      </c>
      <c r="W45" s="1211"/>
      <c r="X45" s="815">
        <f>ROUNDDOWN((PISO_20H)*0.1,2)</f>
        <v>17.76</v>
      </c>
      <c r="Y45" s="30"/>
      <c r="Z45" s="16"/>
      <c r="AA45" s="18"/>
      <c r="AB45" s="66" t="s">
        <v>1463</v>
      </c>
      <c r="AC45" s="65">
        <f t="shared" si="6"/>
        <v>195</v>
      </c>
      <c r="AE45" s="14"/>
      <c r="AF45" s="452">
        <v>36</v>
      </c>
      <c r="AG45" s="1182"/>
      <c r="AH45" s="503" t="s">
        <v>1312</v>
      </c>
      <c r="AI45" s="806">
        <f>ROUNDDOWN(AI46*0.75,2)</f>
        <v>195</v>
      </c>
      <c r="AJ45" s="15"/>
      <c r="AK45" s="16"/>
      <c r="AL45" s="25"/>
      <c r="AO45" s="14"/>
      <c r="AP45" s="452">
        <v>36</v>
      </c>
      <c r="AQ45" s="1182"/>
      <c r="AR45" s="503" t="s">
        <v>1312</v>
      </c>
      <c r="AS45" s="809">
        <f t="shared" si="12"/>
        <v>451.87</v>
      </c>
      <c r="AT45" s="806">
        <f>ROUNDDOWN(AT46*0.75,2)</f>
        <v>8.7</v>
      </c>
      <c r="AU45" s="15"/>
      <c r="AV45" s="16"/>
      <c r="AW45" s="44"/>
      <c r="AX45" s="25"/>
      <c r="AZ45" s="14"/>
      <c r="BA45" s="452">
        <v>36</v>
      </c>
      <c r="BB45" s="1215"/>
      <c r="BC45" s="503" t="s">
        <v>1312</v>
      </c>
      <c r="BD45" s="809">
        <f t="shared" si="13"/>
        <v>451.87</v>
      </c>
      <c r="BE45" s="806">
        <f>ROUNDDOWN(BE46*0.75,2)</f>
        <v>188.85</v>
      </c>
      <c r="BF45" s="18"/>
      <c r="BG45" s="34"/>
      <c r="BJ45" s="14"/>
      <c r="BK45" s="15"/>
      <c r="BL45" s="15"/>
      <c r="BM45" s="15"/>
      <c r="BN45" s="15"/>
      <c r="BO45" s="15"/>
      <c r="BP45" s="15"/>
      <c r="BQ45" s="15"/>
      <c r="BR45" s="34"/>
      <c r="BS45" s="27"/>
      <c r="BT45" s="38"/>
      <c r="BU45" s="452">
        <v>36</v>
      </c>
      <c r="BV45" s="1207" t="s">
        <v>1045</v>
      </c>
      <c r="BW45" s="1207"/>
      <c r="BX45" s="806">
        <f>ROUNDDOWN(BX49*0.6,2)</f>
        <v>434.4</v>
      </c>
      <c r="BY45" s="30"/>
      <c r="BZ45" s="23"/>
      <c r="CC45" s="16"/>
      <c r="CE45" s="66" t="s">
        <v>94</v>
      </c>
      <c r="CF45" s="65">
        <f t="shared" si="14"/>
        <v>434.4</v>
      </c>
      <c r="CH45" s="14"/>
      <c r="CI45" s="452">
        <v>36</v>
      </c>
      <c r="CJ45" s="1207" t="s">
        <v>1045</v>
      </c>
      <c r="CK45" s="1207"/>
      <c r="CL45" s="809">
        <f t="shared" si="15"/>
        <v>434.4</v>
      </c>
      <c r="CM45" s="451"/>
      <c r="CN45" s="30"/>
      <c r="CO45" s="23"/>
      <c r="CP45" s="15"/>
      <c r="CQ45" s="15"/>
      <c r="CR45" s="16"/>
      <c r="CU45" s="14"/>
      <c r="CV45" s="452">
        <v>36</v>
      </c>
      <c r="CW45" s="1207" t="s">
        <v>1045</v>
      </c>
      <c r="CX45" s="1207"/>
      <c r="CY45" s="809">
        <f t="shared" si="16"/>
        <v>434.4</v>
      </c>
      <c r="CZ45" s="451"/>
      <c r="DA45" s="30"/>
      <c r="DB45" s="23"/>
      <c r="DC45" s="15"/>
      <c r="DD45" s="15"/>
      <c r="DE45" s="16"/>
      <c r="DH45" s="14"/>
      <c r="DQ45" s="16"/>
      <c r="DT45" s="14"/>
      <c r="DU45" s="18"/>
      <c r="DV45" s="15"/>
      <c r="DW45" s="15"/>
      <c r="DX45" s="15"/>
      <c r="DY45" s="15"/>
      <c r="DZ45" s="15"/>
      <c r="EA45" s="15"/>
      <c r="EB45" s="15"/>
      <c r="EC45" s="16"/>
      <c r="EE45" s="66" t="s">
        <v>92</v>
      </c>
      <c r="EF45" s="65">
        <f t="shared" si="9"/>
        <v>0</v>
      </c>
      <c r="EH45" s="349"/>
      <c r="EI45" s="353"/>
      <c r="EJ45" s="131"/>
      <c r="EK45" s="318"/>
      <c r="EL45" s="29"/>
      <c r="EM45" s="23"/>
      <c r="EN45" s="131"/>
      <c r="EO45" s="131"/>
      <c r="EP45" s="131"/>
      <c r="EQ45" s="29"/>
      <c r="ER45" s="350"/>
    </row>
    <row r="46" spans="4:148" ht="12.75">
      <c r="D46" s="284"/>
      <c r="G46" s="87"/>
      <c r="H46" s="87"/>
      <c r="I46" s="87"/>
      <c r="J46" s="87"/>
      <c r="L46" s="66" t="s">
        <v>94</v>
      </c>
      <c r="M46" s="65">
        <f t="shared" si="5"/>
        <v>451.87</v>
      </c>
      <c r="N46" s="44"/>
      <c r="O46" s="14"/>
      <c r="P46" s="1027">
        <v>37</v>
      </c>
      <c r="Q46" s="1202"/>
      <c r="R46" s="474" t="s">
        <v>198</v>
      </c>
      <c r="S46" s="1023">
        <f>VLOOKUP("TV GERAL 12 40H",RHE,10,FALSE)</f>
        <v>602.5</v>
      </c>
      <c r="T46" s="23"/>
      <c r="U46" s="131"/>
      <c r="Y46" s="30"/>
      <c r="Z46" s="16"/>
      <c r="AA46" s="18"/>
      <c r="AB46" s="66" t="s">
        <v>1464</v>
      </c>
      <c r="AC46" s="65">
        <f t="shared" si="6"/>
        <v>260</v>
      </c>
      <c r="AE46" s="14"/>
      <c r="AF46" s="483">
        <v>37</v>
      </c>
      <c r="AG46" s="1192"/>
      <c r="AH46" s="507" t="s">
        <v>198</v>
      </c>
      <c r="AI46" s="807">
        <f>VLOOKUP("TV GERAL 12 40H",RHE,18,FALSE)</f>
        <v>260</v>
      </c>
      <c r="AJ46" s="15"/>
      <c r="AK46" s="16"/>
      <c r="AL46" s="25"/>
      <c r="AO46" s="14"/>
      <c r="AP46" s="483">
        <v>37</v>
      </c>
      <c r="AQ46" s="1192"/>
      <c r="AR46" s="507" t="s">
        <v>198</v>
      </c>
      <c r="AS46" s="816">
        <f t="shared" si="12"/>
        <v>602.5</v>
      </c>
      <c r="AT46" s="818">
        <f>VLOOKUP("TV GERAL 12 40H",RHE,12,FALSE)</f>
        <v>11.6</v>
      </c>
      <c r="AU46" s="15"/>
      <c r="AV46" s="16"/>
      <c r="AW46" s="44"/>
      <c r="AX46" s="25"/>
      <c r="AZ46" s="14"/>
      <c r="BA46" s="483">
        <v>37</v>
      </c>
      <c r="BB46" s="1215"/>
      <c r="BC46" s="507" t="s">
        <v>198</v>
      </c>
      <c r="BD46" s="816">
        <f t="shared" si="13"/>
        <v>602.5</v>
      </c>
      <c r="BE46" s="818">
        <f>VLOOKUP("TV GERAL 12 40H",RHE,14,FALSE)</f>
        <v>251.8</v>
      </c>
      <c r="BF46" s="18"/>
      <c r="BG46" s="34"/>
      <c r="BJ46" s="14"/>
      <c r="BK46" s="15"/>
      <c r="BL46" s="15"/>
      <c r="BM46" s="15"/>
      <c r="BN46" s="15"/>
      <c r="BO46" s="15"/>
      <c r="BP46" s="15"/>
      <c r="BQ46" s="15"/>
      <c r="BR46" s="34"/>
      <c r="BS46" s="27"/>
      <c r="BT46" s="38"/>
      <c r="BU46" s="452">
        <v>37</v>
      </c>
      <c r="BV46" s="1207" t="s">
        <v>1046</v>
      </c>
      <c r="BW46" s="1207"/>
      <c r="BX46" s="806">
        <f>ROUNDDOWN(BX49*0.7,2)</f>
        <v>506.8</v>
      </c>
      <c r="BY46" s="30"/>
      <c r="BZ46" s="23"/>
      <c r="CA46" s="15"/>
      <c r="CB46" s="18"/>
      <c r="CC46" s="16"/>
      <c r="CE46" s="66" t="s">
        <v>95</v>
      </c>
      <c r="CF46" s="65">
        <f t="shared" si="14"/>
        <v>506.8</v>
      </c>
      <c r="CH46" s="14"/>
      <c r="CI46" s="452">
        <v>37</v>
      </c>
      <c r="CJ46" s="1207" t="s">
        <v>1046</v>
      </c>
      <c r="CK46" s="1207"/>
      <c r="CL46" s="809">
        <f t="shared" si="15"/>
        <v>506.8</v>
      </c>
      <c r="CM46" s="451"/>
      <c r="CN46" s="30"/>
      <c r="CO46" s="23"/>
      <c r="CP46" s="15"/>
      <c r="CQ46" s="15"/>
      <c r="CR46" s="16"/>
      <c r="CU46" s="14"/>
      <c r="CV46" s="452">
        <v>37</v>
      </c>
      <c r="CW46" s="1207" t="s">
        <v>1046</v>
      </c>
      <c r="CX46" s="1207"/>
      <c r="CY46" s="809">
        <f t="shared" si="16"/>
        <v>506.8</v>
      </c>
      <c r="CZ46" s="451"/>
      <c r="DA46" s="30"/>
      <c r="DB46" s="23"/>
      <c r="DC46" s="15"/>
      <c r="DD46" s="15"/>
      <c r="DE46" s="16"/>
      <c r="DH46" s="14"/>
      <c r="DI46" s="18"/>
      <c r="DJ46" s="18"/>
      <c r="DK46" s="15"/>
      <c r="DL46" s="15"/>
      <c r="DM46" s="15"/>
      <c r="DN46" s="15"/>
      <c r="DO46" s="15"/>
      <c r="DP46" s="15"/>
      <c r="DQ46" s="16"/>
      <c r="DT46" s="14"/>
      <c r="DU46" s="18"/>
      <c r="DV46" s="15"/>
      <c r="DW46" s="15"/>
      <c r="DX46" s="15"/>
      <c r="DY46" s="15"/>
      <c r="DZ46" s="15"/>
      <c r="EA46" s="15"/>
      <c r="EB46" s="15"/>
      <c r="EC46" s="16"/>
      <c r="EE46" s="66" t="s">
        <v>93</v>
      </c>
      <c r="EF46" s="65">
        <f t="shared" si="9"/>
        <v>0</v>
      </c>
      <c r="EH46" s="349"/>
      <c r="EI46" s="353"/>
      <c r="EJ46" s="131"/>
      <c r="EK46" s="318"/>
      <c r="EL46" s="29"/>
      <c r="EM46" s="23"/>
      <c r="EN46" s="131"/>
      <c r="EO46" s="131"/>
      <c r="EP46" s="131"/>
      <c r="EQ46" s="29"/>
      <c r="ER46" s="350"/>
    </row>
    <row r="47" spans="4:148" ht="12.75">
      <c r="D47" s="284"/>
      <c r="G47" s="87"/>
      <c r="H47" s="87"/>
      <c r="I47" s="87"/>
      <c r="J47" s="87"/>
      <c r="L47" s="66" t="s">
        <v>95</v>
      </c>
      <c r="M47" s="65">
        <f t="shared" si="5"/>
        <v>602.5</v>
      </c>
      <c r="N47" s="44"/>
      <c r="O47" s="14"/>
      <c r="P47" s="452">
        <v>38</v>
      </c>
      <c r="Q47" s="1181" t="s">
        <v>163</v>
      </c>
      <c r="R47" s="472" t="s">
        <v>1302</v>
      </c>
      <c r="S47" s="806">
        <f>ROUNDDOWN(S49*0.5,2)</f>
        <v>316.95</v>
      </c>
      <c r="T47" s="23"/>
      <c r="U47" s="15"/>
      <c r="Y47" s="15"/>
      <c r="Z47" s="16"/>
      <c r="AA47" s="18"/>
      <c r="AB47" s="66" t="s">
        <v>1465</v>
      </c>
      <c r="AC47" s="65">
        <f t="shared" si="6"/>
        <v>120</v>
      </c>
      <c r="AE47" s="14"/>
      <c r="AF47" s="488">
        <v>38</v>
      </c>
      <c r="AG47" s="1191" t="s">
        <v>163</v>
      </c>
      <c r="AH47" s="509" t="s">
        <v>1302</v>
      </c>
      <c r="AI47" s="819">
        <f>ROUNDDOWN(AI49*0.5,2)</f>
        <v>120</v>
      </c>
      <c r="AJ47" s="15"/>
      <c r="AK47" s="16"/>
      <c r="AL47" s="25"/>
      <c r="AO47" s="14"/>
      <c r="AP47" s="488">
        <v>38</v>
      </c>
      <c r="AQ47" s="1191" t="s">
        <v>163</v>
      </c>
      <c r="AR47" s="509" t="s">
        <v>1302</v>
      </c>
      <c r="AS47" s="817">
        <f t="shared" si="12"/>
        <v>316.95</v>
      </c>
      <c r="AT47" s="819">
        <f>ROUNDDOWN(AT49*0.5,2)</f>
        <v>6.7</v>
      </c>
      <c r="AU47" s="15"/>
      <c r="AV47" s="16"/>
      <c r="AW47" s="44"/>
      <c r="AX47" s="25"/>
      <c r="AZ47" s="14"/>
      <c r="BA47" s="488">
        <v>38</v>
      </c>
      <c r="BB47" s="1215" t="s">
        <v>163</v>
      </c>
      <c r="BC47" s="509" t="s">
        <v>1302</v>
      </c>
      <c r="BD47" s="817">
        <f t="shared" si="13"/>
        <v>316.95</v>
      </c>
      <c r="BE47" s="819">
        <f>ROUNDDOWN(BE49*0.5,2)</f>
        <v>188.05</v>
      </c>
      <c r="BF47" s="18"/>
      <c r="BG47" s="34"/>
      <c r="BJ47" s="14"/>
      <c r="BK47" s="15"/>
      <c r="BL47" s="15"/>
      <c r="BM47" s="15"/>
      <c r="BN47" s="15"/>
      <c r="BO47" s="15"/>
      <c r="BP47" s="15"/>
      <c r="BQ47" s="15"/>
      <c r="BR47" s="34"/>
      <c r="BS47" s="27"/>
      <c r="BT47" s="38"/>
      <c r="BU47" s="452">
        <v>38</v>
      </c>
      <c r="BV47" s="1207" t="s">
        <v>1047</v>
      </c>
      <c r="BW47" s="1207"/>
      <c r="BX47" s="806">
        <f>ROUNDDOWN(BX49*0.75,2)</f>
        <v>543</v>
      </c>
      <c r="BY47" s="30"/>
      <c r="BZ47" s="23"/>
      <c r="CA47" s="15"/>
      <c r="CB47" s="18"/>
      <c r="CC47" s="16"/>
      <c r="CE47" s="66" t="s">
        <v>727</v>
      </c>
      <c r="CF47" s="65">
        <f t="shared" si="14"/>
        <v>543</v>
      </c>
      <c r="CH47" s="14"/>
      <c r="CI47" s="452">
        <v>38</v>
      </c>
      <c r="CJ47" s="1207" t="s">
        <v>1047</v>
      </c>
      <c r="CK47" s="1207"/>
      <c r="CL47" s="809">
        <f t="shared" si="15"/>
        <v>543</v>
      </c>
      <c r="CM47" s="451"/>
      <c r="CN47" s="30"/>
      <c r="CO47" s="23"/>
      <c r="CP47" s="15"/>
      <c r="CQ47" s="15"/>
      <c r="CR47" s="16"/>
      <c r="CU47" s="14"/>
      <c r="CV47" s="452">
        <v>38</v>
      </c>
      <c r="CW47" s="1207" t="s">
        <v>1047</v>
      </c>
      <c r="CX47" s="1207"/>
      <c r="CY47" s="809">
        <f t="shared" si="16"/>
        <v>543</v>
      </c>
      <c r="CZ47" s="451"/>
      <c r="DA47" s="30"/>
      <c r="DB47" s="23"/>
      <c r="DC47" s="15"/>
      <c r="DD47" s="15"/>
      <c r="DE47" s="16"/>
      <c r="DH47" s="14"/>
      <c r="DI47" s="18"/>
      <c r="DJ47" s="18"/>
      <c r="DK47" s="15"/>
      <c r="DL47" s="15"/>
      <c r="DM47" s="15"/>
      <c r="DN47" s="15"/>
      <c r="DO47" s="15"/>
      <c r="DP47" s="15"/>
      <c r="DQ47" s="16"/>
      <c r="DT47" s="14"/>
      <c r="DU47" s="18"/>
      <c r="DV47" s="15"/>
      <c r="DW47" s="15"/>
      <c r="DX47" s="15"/>
      <c r="DY47" s="15"/>
      <c r="DZ47" s="15"/>
      <c r="EA47" s="15"/>
      <c r="EB47" s="15"/>
      <c r="EC47" s="16"/>
      <c r="EE47" s="66" t="s">
        <v>94</v>
      </c>
      <c r="EF47" s="65">
        <f t="shared" si="9"/>
        <v>0</v>
      </c>
      <c r="EH47" s="349"/>
      <c r="EI47" s="353"/>
      <c r="EJ47" s="131"/>
      <c r="EK47" s="318"/>
      <c r="EL47" s="29"/>
      <c r="EM47" s="23"/>
      <c r="EN47" s="15"/>
      <c r="EO47" s="15"/>
      <c r="EP47" s="15"/>
      <c r="EQ47" s="15"/>
      <c r="ER47" s="350"/>
    </row>
    <row r="48" spans="4:148" ht="12.75">
      <c r="D48" s="284"/>
      <c r="G48" s="87"/>
      <c r="H48" s="87"/>
      <c r="I48" s="87"/>
      <c r="J48" s="87"/>
      <c r="L48" s="66" t="s">
        <v>727</v>
      </c>
      <c r="M48" s="65">
        <f t="shared" si="5"/>
        <v>316.95</v>
      </c>
      <c r="N48" s="44"/>
      <c r="O48" s="14"/>
      <c r="P48" s="452">
        <v>39</v>
      </c>
      <c r="Q48" s="1182"/>
      <c r="R48" s="450" t="s">
        <v>1312</v>
      </c>
      <c r="S48" s="806">
        <f>ROUNDDOWN(S49*0.75,2)</f>
        <v>475.43</v>
      </c>
      <c r="T48" s="23"/>
      <c r="Y48" s="15"/>
      <c r="Z48" s="16"/>
      <c r="AA48" s="18"/>
      <c r="AB48" s="66" t="s">
        <v>1466</v>
      </c>
      <c r="AC48" s="65">
        <f t="shared" si="6"/>
        <v>180</v>
      </c>
      <c r="AE48" s="14"/>
      <c r="AF48" s="452">
        <v>39</v>
      </c>
      <c r="AG48" s="1182"/>
      <c r="AH48" s="503" t="s">
        <v>1312</v>
      </c>
      <c r="AI48" s="806">
        <f>ROUNDDOWN(AI49*0.75,2)</f>
        <v>180</v>
      </c>
      <c r="AJ48" s="15"/>
      <c r="AK48" s="16"/>
      <c r="AL48" s="25"/>
      <c r="AO48" s="14"/>
      <c r="AP48" s="452">
        <v>39</v>
      </c>
      <c r="AQ48" s="1182"/>
      <c r="AR48" s="503" t="s">
        <v>1312</v>
      </c>
      <c r="AS48" s="809">
        <f t="shared" si="12"/>
        <v>475.43</v>
      </c>
      <c r="AT48" s="806">
        <f>ROUNDDOWN(AT49*0.75,2)</f>
        <v>10.05</v>
      </c>
      <c r="AU48" s="15"/>
      <c r="AV48" s="16"/>
      <c r="AW48" s="44"/>
      <c r="AX48" s="25"/>
      <c r="AZ48" s="14"/>
      <c r="BA48" s="452">
        <v>39</v>
      </c>
      <c r="BB48" s="1215"/>
      <c r="BC48" s="503" t="s">
        <v>1312</v>
      </c>
      <c r="BD48" s="809">
        <f t="shared" si="13"/>
        <v>475.43</v>
      </c>
      <c r="BE48" s="806">
        <f>ROUNDDOWN(BE49*0.75,2)</f>
        <v>282.07</v>
      </c>
      <c r="BF48" s="18"/>
      <c r="BG48" s="34"/>
      <c r="BJ48" s="14"/>
      <c r="BK48" s="15"/>
      <c r="BL48" s="15"/>
      <c r="BM48" s="15"/>
      <c r="BN48" s="15"/>
      <c r="BO48" s="15"/>
      <c r="BP48" s="15"/>
      <c r="BQ48" s="15"/>
      <c r="BR48" s="34"/>
      <c r="BS48" s="27"/>
      <c r="BT48" s="38"/>
      <c r="BU48" s="452">
        <v>39</v>
      </c>
      <c r="BV48" s="1207" t="s">
        <v>1048</v>
      </c>
      <c r="BW48" s="1207"/>
      <c r="BX48" s="806">
        <f>ROUNDDOWN(BX49*0.8,2)</f>
        <v>579.2</v>
      </c>
      <c r="BY48" s="30"/>
      <c r="BZ48" s="23"/>
      <c r="CA48" s="15"/>
      <c r="CB48" s="18"/>
      <c r="CC48" s="16"/>
      <c r="CE48" s="66" t="s">
        <v>728</v>
      </c>
      <c r="CF48" s="65">
        <f t="shared" si="14"/>
        <v>579.2</v>
      </c>
      <c r="CH48" s="14"/>
      <c r="CI48" s="452">
        <v>39</v>
      </c>
      <c r="CJ48" s="1207" t="s">
        <v>1048</v>
      </c>
      <c r="CK48" s="1207"/>
      <c r="CL48" s="809">
        <f t="shared" si="15"/>
        <v>579.2</v>
      </c>
      <c r="CM48" s="451"/>
      <c r="CN48" s="30"/>
      <c r="CO48" s="23"/>
      <c r="CP48" s="15"/>
      <c r="CQ48" s="15"/>
      <c r="CR48" s="16"/>
      <c r="CU48" s="14"/>
      <c r="CV48" s="452">
        <v>39</v>
      </c>
      <c r="CW48" s="1207" t="s">
        <v>1048</v>
      </c>
      <c r="CX48" s="1207"/>
      <c r="CY48" s="809">
        <f t="shared" si="16"/>
        <v>579.2</v>
      </c>
      <c r="CZ48" s="451"/>
      <c r="DA48" s="30"/>
      <c r="DB48" s="23"/>
      <c r="DC48" s="15"/>
      <c r="DD48" s="15"/>
      <c r="DE48" s="16"/>
      <c r="DH48" s="19"/>
      <c r="DI48" s="20"/>
      <c r="DJ48" s="20"/>
      <c r="DK48" s="772"/>
      <c r="DL48" s="772"/>
      <c r="DM48" s="772"/>
      <c r="DN48" s="772"/>
      <c r="DO48" s="21"/>
      <c r="DP48" s="21"/>
      <c r="DQ48" s="22"/>
      <c r="DT48" s="14"/>
      <c r="DU48" s="18"/>
      <c r="DV48" s="15"/>
      <c r="DW48" s="15"/>
      <c r="DX48" s="15"/>
      <c r="DY48" s="15"/>
      <c r="DZ48" s="15"/>
      <c r="EA48" s="15"/>
      <c r="EB48" s="15"/>
      <c r="EC48" s="16"/>
      <c r="EE48" s="66" t="s">
        <v>95</v>
      </c>
      <c r="EF48" s="65">
        <f t="shared" si="9"/>
        <v>0</v>
      </c>
      <c r="EH48" s="349"/>
      <c r="EI48" s="353"/>
      <c r="EJ48" s="131"/>
      <c r="EK48" s="318"/>
      <c r="EL48" s="29"/>
      <c r="EM48" s="23"/>
      <c r="EN48" s="15"/>
      <c r="EO48" s="15"/>
      <c r="EP48" s="15"/>
      <c r="EQ48" s="15"/>
      <c r="ER48" s="350"/>
    </row>
    <row r="49" spans="4:148" ht="12.75">
      <c r="D49" s="284"/>
      <c r="G49" s="87"/>
      <c r="H49" s="87"/>
      <c r="I49" s="87"/>
      <c r="J49" s="87"/>
      <c r="L49" s="66" t="s">
        <v>728</v>
      </c>
      <c r="M49" s="65">
        <f t="shared" si="5"/>
        <v>475.43</v>
      </c>
      <c r="N49" s="44"/>
      <c r="O49" s="14"/>
      <c r="P49" s="1024">
        <v>40</v>
      </c>
      <c r="Q49" s="1202"/>
      <c r="R49" s="474" t="s">
        <v>198</v>
      </c>
      <c r="S49" s="1023">
        <f>VLOOKUP("TV GERAL 13 40H",RHE,10,FALSE)</f>
        <v>633.91</v>
      </c>
      <c r="T49" s="23"/>
      <c r="Y49" s="30"/>
      <c r="Z49" s="16"/>
      <c r="AA49" s="18"/>
      <c r="AB49" s="66" t="s">
        <v>1467</v>
      </c>
      <c r="AC49" s="65">
        <f t="shared" si="6"/>
        <v>240</v>
      </c>
      <c r="AE49" s="14"/>
      <c r="AF49" s="483">
        <v>40</v>
      </c>
      <c r="AG49" s="1192"/>
      <c r="AH49" s="507" t="s">
        <v>198</v>
      </c>
      <c r="AI49" s="807">
        <f>VLOOKUP("TV GERAL 13 40H",RHE,18,FALSE)</f>
        <v>240</v>
      </c>
      <c r="AJ49" s="15"/>
      <c r="AK49" s="16"/>
      <c r="AL49" s="25"/>
      <c r="AO49" s="14"/>
      <c r="AP49" s="483">
        <v>40</v>
      </c>
      <c r="AQ49" s="1192"/>
      <c r="AR49" s="507" t="s">
        <v>198</v>
      </c>
      <c r="AS49" s="816">
        <f t="shared" si="12"/>
        <v>633.91</v>
      </c>
      <c r="AT49" s="818">
        <f>VLOOKUP("TV GERAL 13 40H",RHE,12,FALSE)</f>
        <v>13.4</v>
      </c>
      <c r="AU49" s="15"/>
      <c r="AV49" s="16"/>
      <c r="AW49" s="44"/>
      <c r="AX49" s="25"/>
      <c r="AZ49" s="14"/>
      <c r="BA49" s="483">
        <v>40</v>
      </c>
      <c r="BB49" s="1215"/>
      <c r="BC49" s="507" t="s">
        <v>198</v>
      </c>
      <c r="BD49" s="816">
        <f t="shared" si="13"/>
        <v>633.91</v>
      </c>
      <c r="BE49" s="818">
        <f>VLOOKUP("TV GERAL 13 40H",RHE,14,FALSE)</f>
        <v>376.1</v>
      </c>
      <c r="BF49" s="18"/>
      <c r="BG49" s="34"/>
      <c r="BJ49" s="14"/>
      <c r="BK49" s="15"/>
      <c r="BL49" s="15"/>
      <c r="BM49" s="15"/>
      <c r="BN49" s="15"/>
      <c r="BO49" s="15"/>
      <c r="BP49" s="15"/>
      <c r="BQ49" s="15"/>
      <c r="BR49" s="34"/>
      <c r="BS49" s="27"/>
      <c r="BT49" s="38"/>
      <c r="BU49" s="452">
        <v>40</v>
      </c>
      <c r="BV49" s="1207" t="s">
        <v>21</v>
      </c>
      <c r="BW49" s="1207"/>
      <c r="BX49" s="806">
        <f>IF(PISO_40H&gt;SAL_MIN,PISO_40H,SAL_MIN)</f>
        <v>724</v>
      </c>
      <c r="BY49" s="30"/>
      <c r="BZ49" s="23"/>
      <c r="CA49" s="15"/>
      <c r="CB49" s="18"/>
      <c r="CC49" s="16"/>
      <c r="CE49" s="66" t="s">
        <v>271</v>
      </c>
      <c r="CF49" s="65">
        <f t="shared" si="14"/>
        <v>724</v>
      </c>
      <c r="CH49" s="14"/>
      <c r="CI49" s="452">
        <v>40</v>
      </c>
      <c r="CJ49" s="1207" t="s">
        <v>21</v>
      </c>
      <c r="CK49" s="1207"/>
      <c r="CL49" s="809">
        <f t="shared" si="15"/>
        <v>724</v>
      </c>
      <c r="CM49" s="451"/>
      <c r="CN49" s="30"/>
      <c r="CO49" s="23"/>
      <c r="CP49" s="15"/>
      <c r="CQ49" s="15"/>
      <c r="CR49" s="16"/>
      <c r="CU49" s="14"/>
      <c r="CV49" s="452">
        <v>40</v>
      </c>
      <c r="CW49" s="1207" t="s">
        <v>21</v>
      </c>
      <c r="CX49" s="1207"/>
      <c r="CY49" s="809">
        <f t="shared" si="16"/>
        <v>724</v>
      </c>
      <c r="CZ49" s="451"/>
      <c r="DA49" s="30"/>
      <c r="DB49" s="23"/>
      <c r="DC49" s="15"/>
      <c r="DD49" s="15"/>
      <c r="DE49" s="16"/>
      <c r="DH49" s="18"/>
      <c r="DI49" s="18"/>
      <c r="DJ49" s="18"/>
      <c r="DK49" s="18"/>
      <c r="DL49" s="18"/>
      <c r="DM49" s="18"/>
      <c r="DN49" s="24"/>
      <c r="DO49" s="15"/>
      <c r="DP49" s="15"/>
      <c r="DQ49" s="18"/>
      <c r="DT49" s="14"/>
      <c r="DU49" s="18"/>
      <c r="DV49" s="15"/>
      <c r="DW49" s="15"/>
      <c r="DX49" s="15"/>
      <c r="DY49" s="15"/>
      <c r="DZ49" s="15"/>
      <c r="EA49" s="15"/>
      <c r="EB49" s="15"/>
      <c r="EC49" s="16"/>
      <c r="EE49" s="66" t="s">
        <v>727</v>
      </c>
      <c r="EF49" s="140">
        <f aca="true" t="shared" si="17" ref="EF49:EF57">EL49</f>
        <v>0</v>
      </c>
      <c r="EH49" s="349"/>
      <c r="EI49" s="353"/>
      <c r="EJ49" s="131"/>
      <c r="EK49" s="318"/>
      <c r="EL49" s="29"/>
      <c r="EM49" s="23"/>
      <c r="EN49" s="341"/>
      <c r="EO49" s="341"/>
      <c r="EP49" s="341"/>
      <c r="EQ49" s="29"/>
      <c r="ER49" s="350"/>
    </row>
    <row r="50" spans="4:148" ht="12.75">
      <c r="D50" s="284"/>
      <c r="G50" s="87"/>
      <c r="H50" s="87"/>
      <c r="I50" s="87"/>
      <c r="J50" s="87"/>
      <c r="L50" s="66" t="s">
        <v>271</v>
      </c>
      <c r="M50" s="65">
        <f t="shared" si="5"/>
        <v>633.91</v>
      </c>
      <c r="N50" s="44"/>
      <c r="O50" s="14"/>
      <c r="P50" s="475">
        <v>41</v>
      </c>
      <c r="Q50" s="1181" t="s">
        <v>164</v>
      </c>
      <c r="R50" s="472" t="s">
        <v>1302</v>
      </c>
      <c r="S50" s="806">
        <f>ROUNDDOWN(S52*0.5,2)</f>
        <v>333.62</v>
      </c>
      <c r="T50" s="304"/>
      <c r="V50" s="1172" t="s">
        <v>11</v>
      </c>
      <c r="W50" s="1173"/>
      <c r="X50" s="1212"/>
      <c r="Y50" s="15"/>
      <c r="Z50" s="16"/>
      <c r="AA50" s="18"/>
      <c r="AB50" s="66" t="s">
        <v>1468</v>
      </c>
      <c r="AC50" s="65">
        <f t="shared" si="6"/>
        <v>105</v>
      </c>
      <c r="AE50" s="14"/>
      <c r="AF50" s="488">
        <v>41</v>
      </c>
      <c r="AG50" s="1191" t="s">
        <v>164</v>
      </c>
      <c r="AH50" s="509" t="s">
        <v>1302</v>
      </c>
      <c r="AI50" s="819">
        <f>ROUNDDOWN(AI52*0.5,2)</f>
        <v>105</v>
      </c>
      <c r="AJ50" s="15"/>
      <c r="AK50" s="16"/>
      <c r="AL50" s="25"/>
      <c r="AO50" s="14"/>
      <c r="AP50" s="488">
        <v>41</v>
      </c>
      <c r="AQ50" s="1191" t="s">
        <v>164</v>
      </c>
      <c r="AR50" s="509" t="s">
        <v>1302</v>
      </c>
      <c r="AS50" s="817">
        <f t="shared" si="12"/>
        <v>333.62</v>
      </c>
      <c r="AT50" s="819">
        <f>ROUNDDOWN(AT52*0.5,2)</f>
        <v>6.7</v>
      </c>
      <c r="AU50" s="15"/>
      <c r="AV50" s="16"/>
      <c r="AW50" s="44"/>
      <c r="AX50" s="25"/>
      <c r="AZ50" s="14"/>
      <c r="BA50" s="488">
        <v>41</v>
      </c>
      <c r="BB50" s="1215" t="s">
        <v>164</v>
      </c>
      <c r="BC50" s="509" t="s">
        <v>1302</v>
      </c>
      <c r="BD50" s="817">
        <f t="shared" si="13"/>
        <v>333.62</v>
      </c>
      <c r="BE50" s="819">
        <f>ROUNDDOWN(BE52*0.5,2)</f>
        <v>188.05</v>
      </c>
      <c r="BF50" s="18"/>
      <c r="BG50" s="34"/>
      <c r="BJ50" s="14"/>
      <c r="BK50" s="15"/>
      <c r="BL50" s="15"/>
      <c r="BM50" s="15"/>
      <c r="BN50" s="15"/>
      <c r="BO50" s="15"/>
      <c r="BP50" s="15"/>
      <c r="BQ50" s="15"/>
      <c r="BR50" s="34"/>
      <c r="BS50" s="27"/>
      <c r="BT50" s="38"/>
      <c r="BU50" s="452">
        <v>41</v>
      </c>
      <c r="BV50" s="1207" t="s">
        <v>22</v>
      </c>
      <c r="BW50" s="1207"/>
      <c r="BX50" s="806">
        <f aca="true" t="shared" si="18" ref="BX50:BX56">BX49</f>
        <v>724</v>
      </c>
      <c r="BY50" s="30"/>
      <c r="BZ50" s="23"/>
      <c r="CA50" s="15"/>
      <c r="CB50" s="18"/>
      <c r="CC50" s="16"/>
      <c r="CE50" s="66" t="s">
        <v>272</v>
      </c>
      <c r="CF50" s="65">
        <f t="shared" si="14"/>
        <v>724</v>
      </c>
      <c r="CH50" s="14"/>
      <c r="CI50" s="452">
        <v>41</v>
      </c>
      <c r="CJ50" s="1207" t="s">
        <v>22</v>
      </c>
      <c r="CK50" s="1207"/>
      <c r="CL50" s="809">
        <f t="shared" si="15"/>
        <v>724</v>
      </c>
      <c r="CM50" s="451"/>
      <c r="CN50" s="30"/>
      <c r="CO50" s="23"/>
      <c r="CP50" s="15"/>
      <c r="CQ50" s="15"/>
      <c r="CR50" s="16"/>
      <c r="CU50" s="14"/>
      <c r="CV50" s="452">
        <v>41</v>
      </c>
      <c r="CW50" s="1207" t="s">
        <v>22</v>
      </c>
      <c r="CX50" s="1207"/>
      <c r="CY50" s="809">
        <f t="shared" si="16"/>
        <v>724</v>
      </c>
      <c r="CZ50" s="451"/>
      <c r="DA50" s="30"/>
      <c r="DB50" s="23"/>
      <c r="DC50" s="15"/>
      <c r="DD50" s="15"/>
      <c r="DE50" s="16"/>
      <c r="DJ50" s="15"/>
      <c r="DK50" s="15"/>
      <c r="DL50" s="15"/>
      <c r="DM50" s="15"/>
      <c r="DN50" s="15"/>
      <c r="DT50" s="14"/>
      <c r="DU50" s="18"/>
      <c r="DV50" s="15"/>
      <c r="DW50" s="15"/>
      <c r="DX50" s="15"/>
      <c r="DY50" s="15"/>
      <c r="DZ50" s="15"/>
      <c r="EA50" s="15"/>
      <c r="EB50" s="15"/>
      <c r="EC50" s="16"/>
      <c r="EE50" s="66" t="s">
        <v>728</v>
      </c>
      <c r="EF50" s="140">
        <f t="shared" si="17"/>
        <v>0</v>
      </c>
      <c r="EH50" s="349"/>
      <c r="EI50" s="353"/>
      <c r="EJ50" s="131"/>
      <c r="EK50" s="318"/>
      <c r="EL50" s="29"/>
      <c r="EM50" s="23"/>
      <c r="EN50" s="15"/>
      <c r="EO50" s="15"/>
      <c r="EP50" s="15"/>
      <c r="EQ50" s="15"/>
      <c r="ER50" s="350"/>
    </row>
    <row r="51" spans="4:148" ht="12.75">
      <c r="D51" s="284"/>
      <c r="G51" s="87"/>
      <c r="H51" s="87"/>
      <c r="I51" s="87"/>
      <c r="J51" s="87"/>
      <c r="L51" s="66" t="s">
        <v>272</v>
      </c>
      <c r="M51" s="65">
        <f t="shared" si="5"/>
        <v>333.62</v>
      </c>
      <c r="N51" s="44"/>
      <c r="O51" s="14"/>
      <c r="P51" s="452">
        <v>42</v>
      </c>
      <c r="Q51" s="1182"/>
      <c r="R51" s="450" t="s">
        <v>1312</v>
      </c>
      <c r="S51" s="806">
        <f>ROUNDDOWN(S52*0.75,2)</f>
        <v>500.43</v>
      </c>
      <c r="T51" s="23"/>
      <c r="U51" s="323"/>
      <c r="V51" s="15"/>
      <c r="W51" s="15"/>
      <c r="X51" s="15"/>
      <c r="Y51" s="323"/>
      <c r="Z51" s="16"/>
      <c r="AA51" s="18"/>
      <c r="AB51" s="66" t="s">
        <v>1469</v>
      </c>
      <c r="AC51" s="65">
        <f t="shared" si="6"/>
        <v>157.5</v>
      </c>
      <c r="AE51" s="14"/>
      <c r="AF51" s="452">
        <v>42</v>
      </c>
      <c r="AG51" s="1182"/>
      <c r="AH51" s="503" t="s">
        <v>1312</v>
      </c>
      <c r="AI51" s="806">
        <f>ROUNDDOWN(AI52*0.75,2)</f>
        <v>157.5</v>
      </c>
      <c r="AJ51" s="15"/>
      <c r="AK51" s="16"/>
      <c r="AL51" s="25"/>
      <c r="AO51" s="14"/>
      <c r="AP51" s="452">
        <v>42</v>
      </c>
      <c r="AQ51" s="1182"/>
      <c r="AR51" s="503" t="s">
        <v>1312</v>
      </c>
      <c r="AS51" s="809">
        <f t="shared" si="12"/>
        <v>500.43</v>
      </c>
      <c r="AT51" s="806">
        <f>ROUNDDOWN(AT52*0.75,2)</f>
        <v>10.05</v>
      </c>
      <c r="AU51" s="15"/>
      <c r="AV51" s="16"/>
      <c r="AW51" s="44"/>
      <c r="AX51" s="25"/>
      <c r="AZ51" s="14"/>
      <c r="BA51" s="452">
        <v>42</v>
      </c>
      <c r="BB51" s="1215"/>
      <c r="BC51" s="503" t="s">
        <v>1312</v>
      </c>
      <c r="BD51" s="809">
        <f t="shared" si="13"/>
        <v>500.43</v>
      </c>
      <c r="BE51" s="806">
        <f>ROUNDDOWN(BE52*0.75,2)</f>
        <v>282.07</v>
      </c>
      <c r="BF51" s="18"/>
      <c r="BG51" s="34"/>
      <c r="BJ51" s="14"/>
      <c r="BK51" s="15"/>
      <c r="BL51" s="15"/>
      <c r="BM51" s="15"/>
      <c r="BN51" s="15"/>
      <c r="BO51" s="15"/>
      <c r="BP51" s="15"/>
      <c r="BQ51" s="15"/>
      <c r="BR51" s="34"/>
      <c r="BS51" s="27"/>
      <c r="BT51" s="38"/>
      <c r="BU51" s="452">
        <v>42</v>
      </c>
      <c r="BV51" s="1207" t="s">
        <v>23</v>
      </c>
      <c r="BW51" s="1207"/>
      <c r="BX51" s="806">
        <f t="shared" si="18"/>
        <v>724</v>
      </c>
      <c r="BY51" s="30"/>
      <c r="BZ51" s="23"/>
      <c r="CA51" s="15"/>
      <c r="CB51" s="18"/>
      <c r="CC51" s="16"/>
      <c r="CE51" s="66" t="s">
        <v>273</v>
      </c>
      <c r="CF51" s="65">
        <f t="shared" si="14"/>
        <v>724</v>
      </c>
      <c r="CH51" s="14"/>
      <c r="CI51" s="452">
        <v>42</v>
      </c>
      <c r="CJ51" s="1207" t="s">
        <v>23</v>
      </c>
      <c r="CK51" s="1207"/>
      <c r="CL51" s="809">
        <f t="shared" si="15"/>
        <v>724</v>
      </c>
      <c r="CM51" s="451"/>
      <c r="CN51" s="30"/>
      <c r="CO51" s="23"/>
      <c r="CP51" s="15"/>
      <c r="CQ51" s="15"/>
      <c r="CR51" s="16"/>
      <c r="CU51" s="14"/>
      <c r="CV51" s="452">
        <v>42</v>
      </c>
      <c r="CW51" s="1207" t="s">
        <v>23</v>
      </c>
      <c r="CX51" s="1207"/>
      <c r="CY51" s="809">
        <f t="shared" si="16"/>
        <v>724</v>
      </c>
      <c r="CZ51" s="451"/>
      <c r="DA51" s="30"/>
      <c r="DB51" s="23"/>
      <c r="DC51" s="15"/>
      <c r="DD51" s="15"/>
      <c r="DE51" s="16"/>
      <c r="DJ51" s="18"/>
      <c r="DK51" s="15"/>
      <c r="DL51" s="15"/>
      <c r="DM51" s="15"/>
      <c r="DN51" s="15"/>
      <c r="DT51" s="14"/>
      <c r="DU51" s="18"/>
      <c r="DV51" s="15"/>
      <c r="DW51" s="15"/>
      <c r="DX51" s="15"/>
      <c r="DY51" s="15"/>
      <c r="DZ51" s="15"/>
      <c r="EA51" s="15"/>
      <c r="EB51" s="15"/>
      <c r="EC51" s="16"/>
      <c r="EE51" s="66" t="s">
        <v>271</v>
      </c>
      <c r="EF51" s="140">
        <f t="shared" si="17"/>
        <v>0</v>
      </c>
      <c r="EH51" s="349"/>
      <c r="EI51" s="353"/>
      <c r="EJ51" s="131"/>
      <c r="EK51" s="318"/>
      <c r="EL51" s="29"/>
      <c r="EM51" s="23"/>
      <c r="EN51" s="323"/>
      <c r="EO51" s="323"/>
      <c r="EP51" s="323"/>
      <c r="EQ51" s="323"/>
      <c r="ER51" s="350"/>
    </row>
    <row r="52" spans="4:148" ht="12.75">
      <c r="D52" s="284"/>
      <c r="G52" s="87"/>
      <c r="H52" s="87"/>
      <c r="I52" s="87"/>
      <c r="J52" s="87"/>
      <c r="L52" s="66" t="s">
        <v>273</v>
      </c>
      <c r="M52" s="65">
        <f t="shared" si="5"/>
        <v>500.43</v>
      </c>
      <c r="N52" s="44"/>
      <c r="O52" s="14"/>
      <c r="P52" s="1024">
        <v>43</v>
      </c>
      <c r="Q52" s="1202"/>
      <c r="R52" s="474" t="s">
        <v>198</v>
      </c>
      <c r="S52" s="1023">
        <f>VLOOKUP("TV GERAL 14 40H",RHE,10,FALSE)</f>
        <v>667.24</v>
      </c>
      <c r="T52" s="23"/>
      <c r="V52" s="1189" t="s">
        <v>1059</v>
      </c>
      <c r="W52" s="1190"/>
      <c r="X52" s="821">
        <f>VLOOKUP("TV JETON 1 SEM JORNADA",RHE,10,FALSE)</f>
        <v>94.9</v>
      </c>
      <c r="Y52" s="323"/>
      <c r="Z52" s="16"/>
      <c r="AA52" s="18"/>
      <c r="AB52" s="66" t="s">
        <v>1470</v>
      </c>
      <c r="AC52" s="65">
        <f t="shared" si="6"/>
        <v>210</v>
      </c>
      <c r="AE52" s="14"/>
      <c r="AF52" s="483">
        <v>43</v>
      </c>
      <c r="AG52" s="1192"/>
      <c r="AH52" s="507" t="s">
        <v>198</v>
      </c>
      <c r="AI52" s="807">
        <f>VLOOKUP("TV GERAL 14 40H",RHE,18,FALSE)</f>
        <v>210</v>
      </c>
      <c r="AJ52" s="15"/>
      <c r="AK52" s="16"/>
      <c r="AL52" s="25"/>
      <c r="AO52" s="14"/>
      <c r="AP52" s="483">
        <v>43</v>
      </c>
      <c r="AQ52" s="1192"/>
      <c r="AR52" s="507" t="s">
        <v>198</v>
      </c>
      <c r="AS52" s="816">
        <f t="shared" si="12"/>
        <v>667.24</v>
      </c>
      <c r="AT52" s="818">
        <f>VLOOKUP("TV GERAL 14 40H",RHE,12,FALSE)</f>
        <v>13.4</v>
      </c>
      <c r="AU52" s="15"/>
      <c r="AV52" s="16"/>
      <c r="AW52" s="44"/>
      <c r="AX52" s="25"/>
      <c r="AZ52" s="14"/>
      <c r="BA52" s="483">
        <v>43</v>
      </c>
      <c r="BB52" s="1215"/>
      <c r="BC52" s="507" t="s">
        <v>198</v>
      </c>
      <c r="BD52" s="816">
        <f t="shared" si="13"/>
        <v>667.24</v>
      </c>
      <c r="BE52" s="818">
        <f>VLOOKUP("TV GERAL 14 40H",RHE,14,FALSE)</f>
        <v>376.1</v>
      </c>
      <c r="BF52" s="18"/>
      <c r="BG52" s="34"/>
      <c r="BJ52" s="14"/>
      <c r="BK52" s="15"/>
      <c r="BL52" s="15"/>
      <c r="BM52" s="15"/>
      <c r="BN52" s="15"/>
      <c r="BO52" s="15"/>
      <c r="BP52" s="15"/>
      <c r="BQ52" s="15"/>
      <c r="BR52" s="34"/>
      <c r="BS52" s="27"/>
      <c r="BT52" s="38"/>
      <c r="BU52" s="452">
        <v>43</v>
      </c>
      <c r="BV52" s="1207" t="s">
        <v>24</v>
      </c>
      <c r="BW52" s="1207"/>
      <c r="BX52" s="806">
        <f t="shared" si="18"/>
        <v>724</v>
      </c>
      <c r="BY52" s="30"/>
      <c r="BZ52" s="23"/>
      <c r="CA52" s="15"/>
      <c r="CB52" s="18"/>
      <c r="CC52" s="16"/>
      <c r="CE52" s="66" t="s">
        <v>813</v>
      </c>
      <c r="CF52" s="65">
        <f t="shared" si="14"/>
        <v>724</v>
      </c>
      <c r="CH52" s="14"/>
      <c r="CI52" s="452">
        <v>43</v>
      </c>
      <c r="CJ52" s="1207" t="s">
        <v>24</v>
      </c>
      <c r="CK52" s="1207"/>
      <c r="CL52" s="809">
        <f t="shared" si="15"/>
        <v>724</v>
      </c>
      <c r="CM52" s="451"/>
      <c r="CN52" s="30"/>
      <c r="CO52" s="23"/>
      <c r="CP52" s="15"/>
      <c r="CQ52" s="15"/>
      <c r="CR52" s="16"/>
      <c r="CU52" s="14"/>
      <c r="CV52" s="452">
        <v>43</v>
      </c>
      <c r="CW52" s="1207" t="s">
        <v>24</v>
      </c>
      <c r="CX52" s="1207"/>
      <c r="CY52" s="809">
        <f t="shared" si="16"/>
        <v>724</v>
      </c>
      <c r="CZ52" s="451"/>
      <c r="DA52" s="30"/>
      <c r="DB52" s="23"/>
      <c r="DC52" s="15"/>
      <c r="DD52" s="15"/>
      <c r="DE52" s="16"/>
      <c r="DT52" s="14"/>
      <c r="DU52" s="18"/>
      <c r="DV52" s="15"/>
      <c r="DW52" s="15"/>
      <c r="DX52" s="15"/>
      <c r="DY52" s="15"/>
      <c r="DZ52" s="15"/>
      <c r="EA52" s="15"/>
      <c r="EB52" s="15"/>
      <c r="EC52" s="16"/>
      <c r="EE52" s="66" t="s">
        <v>272</v>
      </c>
      <c r="EF52" s="140">
        <f t="shared" si="17"/>
        <v>0</v>
      </c>
      <c r="EH52" s="349"/>
      <c r="EI52" s="353"/>
      <c r="EJ52" s="131"/>
      <c r="EK52" s="318"/>
      <c r="EL52" s="29"/>
      <c r="EM52" s="23"/>
      <c r="EN52" s="323"/>
      <c r="EO52" s="323"/>
      <c r="EP52" s="323"/>
      <c r="EQ52" s="323"/>
      <c r="ER52" s="350"/>
    </row>
    <row r="53" spans="4:148" ht="12.75">
      <c r="D53" s="284"/>
      <c r="G53" s="87"/>
      <c r="H53" s="87"/>
      <c r="I53" s="87"/>
      <c r="J53" s="87"/>
      <c r="L53" s="66" t="s">
        <v>813</v>
      </c>
      <c r="M53" s="65">
        <f t="shared" si="5"/>
        <v>667.24</v>
      </c>
      <c r="N53" s="44"/>
      <c r="O53" s="14"/>
      <c r="P53" s="475">
        <v>44</v>
      </c>
      <c r="Q53" s="1181" t="s">
        <v>165</v>
      </c>
      <c r="R53" s="472" t="s">
        <v>1302</v>
      </c>
      <c r="S53" s="806">
        <f>ROUNDDOWN(S55*0.5,2)</f>
        <v>351.3</v>
      </c>
      <c r="T53" s="23"/>
      <c r="V53" s="1168" t="s">
        <v>1060</v>
      </c>
      <c r="W53" s="1169"/>
      <c r="X53" s="822">
        <f>VLOOKUP("TV JETON 2 SEM JORNADA",RHE,10,FALSE)</f>
        <v>76</v>
      </c>
      <c r="Y53" s="15"/>
      <c r="Z53" s="16"/>
      <c r="AA53" s="18"/>
      <c r="AB53" s="66" t="s">
        <v>1471</v>
      </c>
      <c r="AC53" s="65">
        <f t="shared" si="6"/>
        <v>90</v>
      </c>
      <c r="AE53" s="14"/>
      <c r="AF53" s="488">
        <v>44</v>
      </c>
      <c r="AG53" s="1191" t="s">
        <v>165</v>
      </c>
      <c r="AH53" s="509" t="s">
        <v>1302</v>
      </c>
      <c r="AI53" s="819">
        <f>ROUNDDOWN(AI55*0.5,2)</f>
        <v>90</v>
      </c>
      <c r="AJ53" s="15"/>
      <c r="AK53" s="16"/>
      <c r="AL53" s="25"/>
      <c r="AO53" s="14"/>
      <c r="AP53" s="488">
        <v>44</v>
      </c>
      <c r="AQ53" s="1191" t="s">
        <v>165</v>
      </c>
      <c r="AR53" s="509" t="s">
        <v>1302</v>
      </c>
      <c r="AS53" s="817">
        <f t="shared" si="12"/>
        <v>351.3</v>
      </c>
      <c r="AT53" s="819">
        <f>ROUNDDOWN(AT55*0.5,2)</f>
        <v>6.7</v>
      </c>
      <c r="AU53" s="15"/>
      <c r="AV53" s="16"/>
      <c r="AW53" s="44"/>
      <c r="AX53" s="25"/>
      <c r="AZ53" s="14"/>
      <c r="BA53" s="488">
        <v>44</v>
      </c>
      <c r="BB53" s="1215" t="s">
        <v>165</v>
      </c>
      <c r="BC53" s="509" t="s">
        <v>1302</v>
      </c>
      <c r="BD53" s="817">
        <f t="shared" si="13"/>
        <v>351.3</v>
      </c>
      <c r="BE53" s="819">
        <f>ROUNDDOWN(BE55*0.5,2)</f>
        <v>271.9</v>
      </c>
      <c r="BF53" s="18"/>
      <c r="BG53" s="34"/>
      <c r="BJ53" s="14"/>
      <c r="BK53" s="15"/>
      <c r="BL53" s="15"/>
      <c r="BM53" s="15"/>
      <c r="BN53" s="15"/>
      <c r="BO53" s="15"/>
      <c r="BP53" s="15"/>
      <c r="BQ53" s="15"/>
      <c r="BR53" s="34"/>
      <c r="BS53" s="27"/>
      <c r="BT53" s="38"/>
      <c r="BU53" s="452">
        <v>44</v>
      </c>
      <c r="BV53" s="1207" t="s">
        <v>25</v>
      </c>
      <c r="BW53" s="1207"/>
      <c r="BX53" s="806">
        <f t="shared" si="18"/>
        <v>724</v>
      </c>
      <c r="BY53" s="30"/>
      <c r="BZ53" s="23"/>
      <c r="CA53" s="15"/>
      <c r="CB53" s="18"/>
      <c r="CC53" s="16"/>
      <c r="CE53" s="66" t="s">
        <v>814</v>
      </c>
      <c r="CF53" s="65">
        <f t="shared" si="14"/>
        <v>724</v>
      </c>
      <c r="CH53" s="14"/>
      <c r="CI53" s="452">
        <v>44</v>
      </c>
      <c r="CJ53" s="1207" t="s">
        <v>25</v>
      </c>
      <c r="CK53" s="1207"/>
      <c r="CL53" s="809">
        <f t="shared" si="15"/>
        <v>724</v>
      </c>
      <c r="CM53" s="451"/>
      <c r="CN53" s="30"/>
      <c r="CO53" s="23"/>
      <c r="CP53" s="15"/>
      <c r="CQ53" s="15"/>
      <c r="CR53" s="16"/>
      <c r="CU53" s="14"/>
      <c r="CV53" s="452">
        <v>44</v>
      </c>
      <c r="CW53" s="1207" t="s">
        <v>25</v>
      </c>
      <c r="CX53" s="1207"/>
      <c r="CY53" s="809">
        <f t="shared" si="16"/>
        <v>724</v>
      </c>
      <c r="CZ53" s="451"/>
      <c r="DA53" s="30"/>
      <c r="DB53" s="23"/>
      <c r="DC53" s="15"/>
      <c r="DD53" s="15"/>
      <c r="DE53" s="16"/>
      <c r="DT53" s="14"/>
      <c r="DU53" s="18"/>
      <c r="DV53" s="15"/>
      <c r="DW53" s="15"/>
      <c r="DX53" s="15"/>
      <c r="DY53" s="15"/>
      <c r="DZ53" s="15"/>
      <c r="EA53" s="15"/>
      <c r="EB53" s="15"/>
      <c r="EC53" s="16"/>
      <c r="EE53" s="66" t="s">
        <v>273</v>
      </c>
      <c r="EF53" s="140">
        <f t="shared" si="17"/>
        <v>0</v>
      </c>
      <c r="EH53" s="349"/>
      <c r="EI53" s="353"/>
      <c r="EJ53" s="131"/>
      <c r="EK53" s="318"/>
      <c r="EL53" s="29"/>
      <c r="EM53" s="23"/>
      <c r="EN53" s="15"/>
      <c r="EO53" s="15"/>
      <c r="EP53" s="15"/>
      <c r="EQ53" s="15"/>
      <c r="ER53" s="350"/>
    </row>
    <row r="54" spans="4:148" ht="12.75" customHeight="1">
      <c r="D54" s="284"/>
      <c r="G54" s="87"/>
      <c r="H54" s="87"/>
      <c r="I54" s="87"/>
      <c r="J54" s="87"/>
      <c r="L54" s="66" t="s">
        <v>814</v>
      </c>
      <c r="M54" s="65">
        <f t="shared" si="5"/>
        <v>351.3</v>
      </c>
      <c r="N54" s="44"/>
      <c r="O54" s="14"/>
      <c r="P54" s="452">
        <v>45</v>
      </c>
      <c r="Q54" s="1182"/>
      <c r="R54" s="450" t="s">
        <v>1312</v>
      </c>
      <c r="S54" s="806">
        <f>ROUNDDOWN(S55*0.75,2)</f>
        <v>526.95</v>
      </c>
      <c r="T54" s="23"/>
      <c r="V54" s="1168" t="s">
        <v>1061</v>
      </c>
      <c r="W54" s="1169"/>
      <c r="X54" s="822">
        <f>VLOOKUP("TV JETON 3 SEM JORNADA",RHE,10,FALSE)</f>
        <v>57</v>
      </c>
      <c r="Y54" s="15"/>
      <c r="Z54" s="16"/>
      <c r="AA54" s="18"/>
      <c r="AB54" s="66" t="s">
        <v>1472</v>
      </c>
      <c r="AC54" s="65">
        <f t="shared" si="6"/>
        <v>135</v>
      </c>
      <c r="AE54" s="14"/>
      <c r="AF54" s="452">
        <v>45</v>
      </c>
      <c r="AG54" s="1182"/>
      <c r="AH54" s="503" t="s">
        <v>1312</v>
      </c>
      <c r="AI54" s="806">
        <f>ROUNDDOWN(AI55*0.75,2)</f>
        <v>135</v>
      </c>
      <c r="AJ54" s="15"/>
      <c r="AK54" s="16"/>
      <c r="AL54" s="25"/>
      <c r="AO54" s="14"/>
      <c r="AP54" s="452">
        <v>45</v>
      </c>
      <c r="AQ54" s="1182"/>
      <c r="AR54" s="503" t="s">
        <v>1312</v>
      </c>
      <c r="AS54" s="809">
        <f t="shared" si="12"/>
        <v>526.95</v>
      </c>
      <c r="AT54" s="806">
        <f>ROUNDDOWN(AT55*0.75,2)</f>
        <v>10.05</v>
      </c>
      <c r="AU54" s="15"/>
      <c r="AV54" s="16"/>
      <c r="AW54" s="44"/>
      <c r="AX54" s="25"/>
      <c r="AZ54" s="14"/>
      <c r="BA54" s="452">
        <v>45</v>
      </c>
      <c r="BB54" s="1215"/>
      <c r="BC54" s="503" t="s">
        <v>1312</v>
      </c>
      <c r="BD54" s="809">
        <f t="shared" si="13"/>
        <v>526.95</v>
      </c>
      <c r="BE54" s="806">
        <f>ROUNDDOWN(BE55*0.75,2)</f>
        <v>407.85</v>
      </c>
      <c r="BF54" s="18"/>
      <c r="BG54" s="34"/>
      <c r="BJ54" s="14"/>
      <c r="BK54" s="15"/>
      <c r="BL54" s="15"/>
      <c r="BM54" s="15"/>
      <c r="BN54" s="15"/>
      <c r="BO54" s="15"/>
      <c r="BP54" s="15"/>
      <c r="BQ54" s="15"/>
      <c r="BR54" s="34"/>
      <c r="BS54" s="27"/>
      <c r="BT54" s="38"/>
      <c r="BU54" s="452">
        <v>45</v>
      </c>
      <c r="BV54" s="1207" t="s">
        <v>26</v>
      </c>
      <c r="BW54" s="1207"/>
      <c r="BX54" s="806">
        <f t="shared" si="18"/>
        <v>724</v>
      </c>
      <c r="BY54" s="30"/>
      <c r="BZ54" s="23"/>
      <c r="CA54" s="339"/>
      <c r="CB54" s="339"/>
      <c r="CC54" s="16"/>
      <c r="CE54" s="66" t="s">
        <v>815</v>
      </c>
      <c r="CF54" s="65">
        <f t="shared" si="14"/>
        <v>724</v>
      </c>
      <c r="CH54" s="14"/>
      <c r="CI54" s="452">
        <v>45</v>
      </c>
      <c r="CJ54" s="1207" t="s">
        <v>26</v>
      </c>
      <c r="CK54" s="1207"/>
      <c r="CL54" s="809">
        <f t="shared" si="15"/>
        <v>724</v>
      </c>
      <c r="CM54" s="451"/>
      <c r="CN54" s="30"/>
      <c r="CO54" s="23"/>
      <c r="CP54" s="339"/>
      <c r="CQ54" s="339"/>
      <c r="CR54" s="16"/>
      <c r="CU54" s="14"/>
      <c r="CV54" s="452">
        <v>45</v>
      </c>
      <c r="CW54" s="1207" t="s">
        <v>26</v>
      </c>
      <c r="CX54" s="1207"/>
      <c r="CY54" s="809">
        <f t="shared" si="16"/>
        <v>724</v>
      </c>
      <c r="CZ54" s="451"/>
      <c r="DA54" s="30"/>
      <c r="DB54" s="23"/>
      <c r="DC54" s="339"/>
      <c r="DD54" s="339"/>
      <c r="DE54" s="16"/>
      <c r="DT54" s="14"/>
      <c r="DU54" s="18"/>
      <c r="DV54" s="15"/>
      <c r="DW54" s="15"/>
      <c r="DX54" s="15"/>
      <c r="DY54" s="15"/>
      <c r="DZ54" s="15"/>
      <c r="EA54" s="15"/>
      <c r="EB54" s="15"/>
      <c r="EC54" s="16"/>
      <c r="EE54" s="66" t="s">
        <v>813</v>
      </c>
      <c r="EF54" s="140">
        <f t="shared" si="17"/>
        <v>0</v>
      </c>
      <c r="EH54" s="349"/>
      <c r="EI54" s="353"/>
      <c r="EJ54" s="131"/>
      <c r="EK54" s="318"/>
      <c r="EL54" s="29"/>
      <c r="EM54" s="23"/>
      <c r="EN54" s="15"/>
      <c r="EO54" s="15"/>
      <c r="EP54" s="15"/>
      <c r="EQ54" s="15"/>
      <c r="ER54" s="350"/>
    </row>
    <row r="55" spans="4:148" ht="12.75" customHeight="1">
      <c r="D55" s="284"/>
      <c r="G55" s="87"/>
      <c r="H55" s="87"/>
      <c r="I55" s="87"/>
      <c r="J55" s="87"/>
      <c r="L55" s="66" t="s">
        <v>815</v>
      </c>
      <c r="M55" s="65">
        <f t="shared" si="5"/>
        <v>526.95</v>
      </c>
      <c r="N55" s="44"/>
      <c r="O55" s="14"/>
      <c r="P55" s="1024">
        <v>46</v>
      </c>
      <c r="Q55" s="1202"/>
      <c r="R55" s="474" t="s">
        <v>198</v>
      </c>
      <c r="S55" s="1023">
        <f>VLOOKUP("TV GERAL 15 40H",RHE,10,FALSE)</f>
        <v>702.6</v>
      </c>
      <c r="T55" s="23"/>
      <c r="U55" s="323"/>
      <c r="V55" s="1170" t="s">
        <v>1062</v>
      </c>
      <c r="W55" s="1171"/>
      <c r="X55" s="823">
        <f>VLOOKUP("TV JETON 4 SEM JORNADA",RHE,10,FALSE)</f>
        <v>170.52</v>
      </c>
      <c r="Y55" s="323"/>
      <c r="Z55" s="16"/>
      <c r="AA55" s="18"/>
      <c r="AB55" s="66" t="s">
        <v>1473</v>
      </c>
      <c r="AC55" s="65">
        <f t="shared" si="6"/>
        <v>180</v>
      </c>
      <c r="AE55" s="14"/>
      <c r="AF55" s="483">
        <v>46</v>
      </c>
      <c r="AG55" s="1192"/>
      <c r="AH55" s="507" t="s">
        <v>198</v>
      </c>
      <c r="AI55" s="807">
        <f>VLOOKUP("TV GERAL 15 40H",RHE,18,FALSE)</f>
        <v>180</v>
      </c>
      <c r="AJ55" s="15"/>
      <c r="AK55" s="16"/>
      <c r="AL55" s="25"/>
      <c r="AO55" s="14"/>
      <c r="AP55" s="483">
        <v>46</v>
      </c>
      <c r="AQ55" s="1192"/>
      <c r="AR55" s="507" t="s">
        <v>198</v>
      </c>
      <c r="AS55" s="816">
        <f t="shared" si="12"/>
        <v>702.6</v>
      </c>
      <c r="AT55" s="818">
        <f>VLOOKUP("TV GERAL 15 40H",RHE,12,FALSE)</f>
        <v>13.4</v>
      </c>
      <c r="AU55" s="15"/>
      <c r="AV55" s="16"/>
      <c r="AW55" s="44"/>
      <c r="AX55" s="25"/>
      <c r="AZ55" s="14"/>
      <c r="BA55" s="483">
        <v>46</v>
      </c>
      <c r="BB55" s="1215"/>
      <c r="BC55" s="507" t="s">
        <v>198</v>
      </c>
      <c r="BD55" s="816">
        <f t="shared" si="13"/>
        <v>702.6</v>
      </c>
      <c r="BE55" s="818">
        <f>VLOOKUP("TV GERAL 15 40H",RHE,14,FALSE)</f>
        <v>543.8</v>
      </c>
      <c r="BF55" s="18"/>
      <c r="BG55" s="34"/>
      <c r="BJ55" s="14"/>
      <c r="BK55" s="15"/>
      <c r="BL55" s="15"/>
      <c r="BM55" s="15"/>
      <c r="BN55" s="15"/>
      <c r="BO55" s="15"/>
      <c r="BP55" s="15"/>
      <c r="BQ55" s="15"/>
      <c r="BR55" s="34"/>
      <c r="BS55" s="27"/>
      <c r="BT55" s="38"/>
      <c r="BU55" s="452">
        <v>46</v>
      </c>
      <c r="BV55" s="1207" t="s">
        <v>27</v>
      </c>
      <c r="BW55" s="1207"/>
      <c r="BX55" s="806">
        <f t="shared" si="18"/>
        <v>724</v>
      </c>
      <c r="BY55" s="30"/>
      <c r="BZ55" s="23"/>
      <c r="CA55" s="339"/>
      <c r="CB55" s="339"/>
      <c r="CC55" s="16"/>
      <c r="CE55" s="66" t="s">
        <v>816</v>
      </c>
      <c r="CF55" s="65">
        <f t="shared" si="14"/>
        <v>724</v>
      </c>
      <c r="CH55" s="14"/>
      <c r="CI55" s="452">
        <v>46</v>
      </c>
      <c r="CJ55" s="1207" t="s">
        <v>27</v>
      </c>
      <c r="CK55" s="1207"/>
      <c r="CL55" s="809">
        <f t="shared" si="15"/>
        <v>724</v>
      </c>
      <c r="CM55" s="451"/>
      <c r="CN55" s="30"/>
      <c r="CO55" s="23"/>
      <c r="CP55" s="339"/>
      <c r="CQ55" s="339"/>
      <c r="CR55" s="16"/>
      <c r="CU55" s="14"/>
      <c r="CV55" s="452">
        <v>46</v>
      </c>
      <c r="CW55" s="1207" t="s">
        <v>27</v>
      </c>
      <c r="CX55" s="1207"/>
      <c r="CY55" s="809">
        <f t="shared" si="16"/>
        <v>724</v>
      </c>
      <c r="CZ55" s="451"/>
      <c r="DA55" s="30"/>
      <c r="DB55" s="23"/>
      <c r="DC55" s="339"/>
      <c r="DD55" s="339"/>
      <c r="DE55" s="16"/>
      <c r="DT55" s="14"/>
      <c r="DU55" s="18"/>
      <c r="DV55" s="15"/>
      <c r="DW55" s="15"/>
      <c r="DX55" s="15"/>
      <c r="DY55" s="15"/>
      <c r="DZ55" s="15"/>
      <c r="EA55" s="15"/>
      <c r="EB55" s="15"/>
      <c r="EC55" s="16"/>
      <c r="EE55" s="66" t="s">
        <v>814</v>
      </c>
      <c r="EF55" s="140">
        <f t="shared" si="17"/>
        <v>0</v>
      </c>
      <c r="EH55" s="349"/>
      <c r="EI55" s="353"/>
      <c r="EJ55" s="131"/>
      <c r="EK55" s="318"/>
      <c r="EL55" s="29"/>
      <c r="EM55" s="23"/>
      <c r="EN55" s="323"/>
      <c r="EO55" s="323"/>
      <c r="EP55" s="323"/>
      <c r="EQ55" s="323"/>
      <c r="ER55" s="350"/>
    </row>
    <row r="56" spans="4:148" ht="12.75">
      <c r="D56" s="284"/>
      <c r="G56" s="87"/>
      <c r="H56" s="87"/>
      <c r="I56" s="87"/>
      <c r="J56" s="87"/>
      <c r="L56" s="66" t="s">
        <v>816</v>
      </c>
      <c r="M56" s="65">
        <f t="shared" si="5"/>
        <v>702.6</v>
      </c>
      <c r="N56" s="44"/>
      <c r="O56" s="14"/>
      <c r="P56" s="475">
        <v>47</v>
      </c>
      <c r="Q56" s="1181" t="s">
        <v>166</v>
      </c>
      <c r="R56" s="472" t="s">
        <v>1302</v>
      </c>
      <c r="S56" s="806">
        <f>ROUNDDOWN(S58*0.5,2)</f>
        <v>369.86</v>
      </c>
      <c r="T56" s="23"/>
      <c r="U56" s="323"/>
      <c r="V56" s="323"/>
      <c r="W56" s="323"/>
      <c r="X56" s="323"/>
      <c r="Y56" s="323"/>
      <c r="Z56" s="16"/>
      <c r="AA56" s="18"/>
      <c r="AB56" s="66" t="s">
        <v>1474</v>
      </c>
      <c r="AC56" s="65">
        <f t="shared" si="6"/>
        <v>75</v>
      </c>
      <c r="AE56" s="14"/>
      <c r="AF56" s="488">
        <v>47</v>
      </c>
      <c r="AG56" s="1191" t="s">
        <v>166</v>
      </c>
      <c r="AH56" s="509" t="s">
        <v>1302</v>
      </c>
      <c r="AI56" s="819">
        <f>ROUNDDOWN(AI58*0.5,2)</f>
        <v>75</v>
      </c>
      <c r="AJ56" s="15"/>
      <c r="AK56" s="16"/>
      <c r="AL56" s="25"/>
      <c r="AO56" s="14"/>
      <c r="AP56" s="488">
        <v>47</v>
      </c>
      <c r="AQ56" s="1191" t="s">
        <v>166</v>
      </c>
      <c r="AR56" s="509" t="s">
        <v>1302</v>
      </c>
      <c r="AS56" s="817">
        <f t="shared" si="12"/>
        <v>369.86</v>
      </c>
      <c r="AT56" s="819">
        <f>ROUNDDOWN(AT58*0.5,2)</f>
        <v>6.7</v>
      </c>
      <c r="AU56" s="15"/>
      <c r="AV56" s="16"/>
      <c r="AW56" s="44"/>
      <c r="AX56" s="25"/>
      <c r="AZ56" s="14"/>
      <c r="BA56" s="488">
        <v>47</v>
      </c>
      <c r="BB56" s="1215" t="s">
        <v>166</v>
      </c>
      <c r="BC56" s="509" t="s">
        <v>1302</v>
      </c>
      <c r="BD56" s="817">
        <f t="shared" si="13"/>
        <v>369.86</v>
      </c>
      <c r="BE56" s="819">
        <f>ROUNDDOWN(BE58*0.5,2)</f>
        <v>271.9</v>
      </c>
      <c r="BF56" s="18"/>
      <c r="BG56" s="34"/>
      <c r="BJ56" s="14"/>
      <c r="BK56" s="15"/>
      <c r="BL56" s="15"/>
      <c r="BM56" s="15"/>
      <c r="BN56" s="15"/>
      <c r="BO56" s="15"/>
      <c r="BP56" s="15"/>
      <c r="BQ56" s="15"/>
      <c r="BR56" s="34"/>
      <c r="BS56" s="27"/>
      <c r="BT56" s="38"/>
      <c r="BU56" s="452">
        <v>47</v>
      </c>
      <c r="BV56" s="1207" t="s">
        <v>32</v>
      </c>
      <c r="BW56" s="1207"/>
      <c r="BX56" s="806">
        <f t="shared" si="18"/>
        <v>724</v>
      </c>
      <c r="BY56" s="30"/>
      <c r="BZ56" s="23"/>
      <c r="CA56" s="339"/>
      <c r="CB56" s="339"/>
      <c r="CC56" s="16"/>
      <c r="CE56" s="66" t="s">
        <v>817</v>
      </c>
      <c r="CF56" s="65">
        <f t="shared" si="14"/>
        <v>724</v>
      </c>
      <c r="CH56" s="14"/>
      <c r="CI56" s="452">
        <v>47</v>
      </c>
      <c r="CJ56" s="1207" t="s">
        <v>28</v>
      </c>
      <c r="CK56" s="1207"/>
      <c r="CL56" s="809">
        <f t="shared" si="15"/>
        <v>724</v>
      </c>
      <c r="CM56" s="451"/>
      <c r="CN56" s="30"/>
      <c r="CO56" s="23"/>
      <c r="CP56" s="339"/>
      <c r="CQ56" s="339"/>
      <c r="CR56" s="16"/>
      <c r="CU56" s="14"/>
      <c r="CV56" s="452">
        <v>47</v>
      </c>
      <c r="CW56" s="1207" t="s">
        <v>28</v>
      </c>
      <c r="CX56" s="1207"/>
      <c r="CY56" s="809">
        <f t="shared" si="16"/>
        <v>724</v>
      </c>
      <c r="CZ56" s="451"/>
      <c r="DA56" s="30"/>
      <c r="DB56" s="23"/>
      <c r="DC56" s="339"/>
      <c r="DD56" s="339"/>
      <c r="DE56" s="16"/>
      <c r="DT56" s="14"/>
      <c r="DU56" s="18"/>
      <c r="DV56" s="15"/>
      <c r="DW56" s="15"/>
      <c r="DX56" s="15"/>
      <c r="DY56" s="15"/>
      <c r="DZ56" s="15"/>
      <c r="EA56" s="15"/>
      <c r="EB56" s="15"/>
      <c r="EC56" s="16"/>
      <c r="EE56" s="66" t="s">
        <v>815</v>
      </c>
      <c r="EF56" s="140">
        <f t="shared" si="17"/>
        <v>0</v>
      </c>
      <c r="EH56" s="349"/>
      <c r="EI56" s="353"/>
      <c r="EJ56" s="131"/>
      <c r="EK56" s="318"/>
      <c r="EL56" s="29"/>
      <c r="EM56" s="23"/>
      <c r="EN56" s="323"/>
      <c r="EO56" s="323"/>
      <c r="EP56" s="323"/>
      <c r="EQ56" s="323"/>
      <c r="ER56" s="350"/>
    </row>
    <row r="57" spans="4:148" ht="13.5" thickBot="1">
      <c r="D57" s="284"/>
      <c r="G57" s="87"/>
      <c r="H57" s="87"/>
      <c r="I57" s="87"/>
      <c r="J57" s="87"/>
      <c r="L57" s="66" t="s">
        <v>817</v>
      </c>
      <c r="M57" s="65">
        <f t="shared" si="5"/>
        <v>369.86</v>
      </c>
      <c r="N57" s="44"/>
      <c r="O57" s="14"/>
      <c r="P57" s="452">
        <v>48</v>
      </c>
      <c r="Q57" s="1182"/>
      <c r="R57" s="450" t="s">
        <v>1312</v>
      </c>
      <c r="S57" s="806">
        <f>ROUNDDOWN(S58*0.75,2)</f>
        <v>554.79</v>
      </c>
      <c r="T57" s="23"/>
      <c r="U57" s="323"/>
      <c r="V57" s="323"/>
      <c r="W57" s="323"/>
      <c r="X57" s="323"/>
      <c r="Y57" s="323"/>
      <c r="Z57" s="16"/>
      <c r="AA57" s="18"/>
      <c r="AB57" s="66" t="s">
        <v>1475</v>
      </c>
      <c r="AC57" s="65">
        <f t="shared" si="6"/>
        <v>112.5</v>
      </c>
      <c r="AE57" s="14"/>
      <c r="AF57" s="452">
        <v>48</v>
      </c>
      <c r="AG57" s="1182"/>
      <c r="AH57" s="503" t="s">
        <v>1312</v>
      </c>
      <c r="AI57" s="806">
        <f>ROUNDDOWN(AI58*0.75,2)</f>
        <v>112.5</v>
      </c>
      <c r="AJ57" s="15"/>
      <c r="AK57" s="16"/>
      <c r="AL57" s="25"/>
      <c r="AO57" s="14"/>
      <c r="AP57" s="452">
        <v>48</v>
      </c>
      <c r="AQ57" s="1182"/>
      <c r="AR57" s="503" t="s">
        <v>1312</v>
      </c>
      <c r="AS57" s="809">
        <f t="shared" si="12"/>
        <v>554.79</v>
      </c>
      <c r="AT57" s="806">
        <f>ROUNDDOWN(AT58*0.75,2)</f>
        <v>10.05</v>
      </c>
      <c r="AU57" s="15"/>
      <c r="AV57" s="16"/>
      <c r="AW57" s="44"/>
      <c r="AX57" s="25"/>
      <c r="AZ57" s="14"/>
      <c r="BA57" s="452">
        <v>48</v>
      </c>
      <c r="BB57" s="1215"/>
      <c r="BC57" s="503" t="s">
        <v>1312</v>
      </c>
      <c r="BD57" s="809">
        <f t="shared" si="13"/>
        <v>554.79</v>
      </c>
      <c r="BE57" s="806">
        <f>ROUNDDOWN(BE58*0.75,2)</f>
        <v>407.85</v>
      </c>
      <c r="BF57" s="18"/>
      <c r="BG57" s="34"/>
      <c r="BJ57" s="14"/>
      <c r="BK57" s="15"/>
      <c r="BL57" s="15"/>
      <c r="BM57" s="15"/>
      <c r="BN57" s="15"/>
      <c r="BO57" s="15"/>
      <c r="BP57" s="15"/>
      <c r="BQ57" s="15"/>
      <c r="BR57" s="34"/>
      <c r="BS57" s="27"/>
      <c r="BT57" s="38"/>
      <c r="BU57" s="452">
        <v>48</v>
      </c>
      <c r="BV57" s="1207" t="s">
        <v>1052</v>
      </c>
      <c r="BW57" s="1207"/>
      <c r="BX57" s="806">
        <f>ROUNDDOWN(BX49*0.6,2)</f>
        <v>434.4</v>
      </c>
      <c r="BY57" s="30"/>
      <c r="BZ57" s="23"/>
      <c r="CA57" s="339"/>
      <c r="CB57" s="339"/>
      <c r="CC57" s="16"/>
      <c r="CE57" s="66" t="s">
        <v>818</v>
      </c>
      <c r="CF57" s="65">
        <f t="shared" si="14"/>
        <v>434.4</v>
      </c>
      <c r="CH57" s="14"/>
      <c r="CI57" s="452">
        <v>48</v>
      </c>
      <c r="CJ57" s="1207" t="s">
        <v>1052</v>
      </c>
      <c r="CK57" s="1207"/>
      <c r="CL57" s="809">
        <f t="shared" si="15"/>
        <v>434.4</v>
      </c>
      <c r="CM57" s="451"/>
      <c r="CN57" s="30"/>
      <c r="CO57" s="23"/>
      <c r="CP57" s="339"/>
      <c r="CQ57" s="339"/>
      <c r="CR57" s="16"/>
      <c r="CU57" s="14"/>
      <c r="CV57" s="452">
        <v>48</v>
      </c>
      <c r="CW57" s="1207" t="s">
        <v>1052</v>
      </c>
      <c r="CX57" s="1207"/>
      <c r="CY57" s="809">
        <f t="shared" si="16"/>
        <v>434.4</v>
      </c>
      <c r="CZ57" s="451"/>
      <c r="DA57" s="30"/>
      <c r="DB57" s="23"/>
      <c r="DC57" s="339"/>
      <c r="DD57" s="339"/>
      <c r="DE57" s="16"/>
      <c r="DT57" s="14"/>
      <c r="DU57" s="18"/>
      <c r="DV57" s="15"/>
      <c r="DW57" s="15"/>
      <c r="DX57" s="15"/>
      <c r="DY57" s="15"/>
      <c r="DZ57" s="15"/>
      <c r="EA57" s="15"/>
      <c r="EB57" s="15"/>
      <c r="EC57" s="16"/>
      <c r="EE57" s="67" t="s">
        <v>816</v>
      </c>
      <c r="EF57" s="134">
        <f t="shared" si="17"/>
        <v>0</v>
      </c>
      <c r="EH57" s="349"/>
      <c r="EI57" s="353"/>
      <c r="EJ57" s="131"/>
      <c r="EK57" s="318"/>
      <c r="EL57" s="29"/>
      <c r="EM57" s="23"/>
      <c r="EN57" s="323"/>
      <c r="EO57" s="323"/>
      <c r="EP57" s="323"/>
      <c r="EQ57" s="323"/>
      <c r="ER57" s="350"/>
    </row>
    <row r="58" spans="4:148" ht="13.5" thickBot="1">
      <c r="D58" s="284"/>
      <c r="G58" s="87"/>
      <c r="H58" s="87"/>
      <c r="I58" s="87"/>
      <c r="J58" s="87"/>
      <c r="L58" s="66" t="s">
        <v>818</v>
      </c>
      <c r="M58" s="65">
        <f t="shared" si="5"/>
        <v>554.79</v>
      </c>
      <c r="N58" s="44"/>
      <c r="O58" s="14"/>
      <c r="P58" s="1025">
        <v>49</v>
      </c>
      <c r="Q58" s="1183"/>
      <c r="R58" s="454" t="s">
        <v>198</v>
      </c>
      <c r="S58" s="1023">
        <f>VLOOKUP("TV GERAL 16 40H",RHE,10,FALSE)</f>
        <v>739.73</v>
      </c>
      <c r="T58" s="23"/>
      <c r="U58" s="1172" t="s">
        <v>12</v>
      </c>
      <c r="V58" s="1173"/>
      <c r="W58" s="1173"/>
      <c r="X58" s="830">
        <f>TETO</f>
        <v>24117.62</v>
      </c>
      <c r="Y58" s="15"/>
      <c r="Z58" s="16"/>
      <c r="AA58" s="18"/>
      <c r="AB58" s="67" t="s">
        <v>1476</v>
      </c>
      <c r="AC58" s="83">
        <f t="shared" si="6"/>
        <v>150</v>
      </c>
      <c r="AE58" s="14"/>
      <c r="AF58" s="453">
        <v>49</v>
      </c>
      <c r="AG58" s="1183"/>
      <c r="AH58" s="502" t="s">
        <v>198</v>
      </c>
      <c r="AI58" s="807">
        <f>VLOOKUP("TV GERAL 16 40H",RHE,18,FALSE)</f>
        <v>150</v>
      </c>
      <c r="AJ58" s="15"/>
      <c r="AK58" s="16"/>
      <c r="AL58" s="25"/>
      <c r="AO58" s="14"/>
      <c r="AP58" s="453">
        <v>49</v>
      </c>
      <c r="AQ58" s="1183"/>
      <c r="AR58" s="502" t="s">
        <v>198</v>
      </c>
      <c r="AS58" s="813">
        <f t="shared" si="12"/>
        <v>739.73</v>
      </c>
      <c r="AT58" s="820">
        <f>VLOOKUP("TV GERAL 16 40H",RHE,12,FALSE)</f>
        <v>13.4</v>
      </c>
      <c r="AU58" s="15"/>
      <c r="AV58" s="16"/>
      <c r="AW58" s="44"/>
      <c r="AX58" s="25"/>
      <c r="AZ58" s="14"/>
      <c r="BA58" s="453">
        <v>49</v>
      </c>
      <c r="BB58" s="1230"/>
      <c r="BC58" s="502" t="s">
        <v>198</v>
      </c>
      <c r="BD58" s="813">
        <f t="shared" si="13"/>
        <v>739.73</v>
      </c>
      <c r="BE58" s="820">
        <f>VLOOKUP("TV GERAL 16 40H",RHE,14,FALSE)</f>
        <v>543.8</v>
      </c>
      <c r="BF58" s="15"/>
      <c r="BG58" s="34"/>
      <c r="BJ58" s="14"/>
      <c r="BK58" s="15"/>
      <c r="BL58" s="15"/>
      <c r="BM58" s="15"/>
      <c r="BN58" s="15"/>
      <c r="BO58" s="15"/>
      <c r="BP58" s="15"/>
      <c r="BQ58" s="15"/>
      <c r="BR58" s="34"/>
      <c r="BS58" s="27"/>
      <c r="BT58" s="38"/>
      <c r="BU58" s="452">
        <v>49</v>
      </c>
      <c r="BV58" s="1207" t="s">
        <v>1050</v>
      </c>
      <c r="BW58" s="1207"/>
      <c r="BX58" s="806">
        <f>ROUNDDOWN(BX49*0.7,2)</f>
        <v>506.8</v>
      </c>
      <c r="BY58" s="30"/>
      <c r="BZ58" s="23"/>
      <c r="CA58" s="328"/>
      <c r="CB58" s="328"/>
      <c r="CC58" s="16"/>
      <c r="CE58" s="66" t="s">
        <v>819</v>
      </c>
      <c r="CF58" s="65">
        <f t="shared" si="14"/>
        <v>506.8</v>
      </c>
      <c r="CH58" s="14"/>
      <c r="CI58" s="452">
        <v>49</v>
      </c>
      <c r="CJ58" s="1207" t="s">
        <v>1050</v>
      </c>
      <c r="CK58" s="1207"/>
      <c r="CL58" s="809">
        <f t="shared" si="15"/>
        <v>506.8</v>
      </c>
      <c r="CM58" s="451"/>
      <c r="CN58" s="30"/>
      <c r="CO58" s="23"/>
      <c r="CP58" s="15"/>
      <c r="CQ58" s="15"/>
      <c r="CR58" s="16"/>
      <c r="CU58" s="14"/>
      <c r="CV58" s="452">
        <v>49</v>
      </c>
      <c r="CW58" s="1207" t="s">
        <v>1050</v>
      </c>
      <c r="CX58" s="1207"/>
      <c r="CY58" s="809">
        <f t="shared" si="16"/>
        <v>506.8</v>
      </c>
      <c r="CZ58" s="451"/>
      <c r="DA58" s="30"/>
      <c r="DB58" s="24"/>
      <c r="DC58" s="15"/>
      <c r="DD58" s="24"/>
      <c r="DE58" s="16"/>
      <c r="DT58" s="14"/>
      <c r="DU58" s="18"/>
      <c r="DV58" s="15"/>
      <c r="DW58" s="15"/>
      <c r="DX58" s="15"/>
      <c r="DY58" s="15"/>
      <c r="DZ58" s="15"/>
      <c r="EA58" s="15"/>
      <c r="EB58" s="15"/>
      <c r="EC58" s="16"/>
      <c r="EH58" s="349"/>
      <c r="EM58" s="23"/>
      <c r="ER58" s="350"/>
    </row>
    <row r="59" spans="4:148" ht="13.5" thickBot="1">
      <c r="D59" s="284"/>
      <c r="G59" s="87"/>
      <c r="H59" s="87"/>
      <c r="I59" s="87"/>
      <c r="J59" s="87"/>
      <c r="L59" s="66" t="s">
        <v>819</v>
      </c>
      <c r="M59" s="65">
        <f t="shared" si="5"/>
        <v>739.73</v>
      </c>
      <c r="N59" s="44"/>
      <c r="O59" s="14"/>
      <c r="T59" s="23"/>
      <c r="Z59" s="16"/>
      <c r="AA59" s="18"/>
      <c r="AE59" s="14"/>
      <c r="AJ59" s="15"/>
      <c r="AK59" s="16"/>
      <c r="AL59" s="25"/>
      <c r="AO59" s="14"/>
      <c r="AU59" s="15"/>
      <c r="AV59" s="16"/>
      <c r="AW59" s="44"/>
      <c r="AX59" s="25"/>
      <c r="AZ59" s="14"/>
      <c r="BA59" s="15"/>
      <c r="BB59" s="15"/>
      <c r="BC59" s="15"/>
      <c r="BD59" s="15"/>
      <c r="BE59" s="15"/>
      <c r="BF59" s="15"/>
      <c r="BG59" s="34"/>
      <c r="BJ59" s="14"/>
      <c r="BK59" s="15"/>
      <c r="BL59" s="15"/>
      <c r="BM59" s="15"/>
      <c r="BN59" s="15"/>
      <c r="BO59" s="15"/>
      <c r="BP59" s="15"/>
      <c r="BQ59" s="15"/>
      <c r="BR59" s="34"/>
      <c r="BS59" s="26"/>
      <c r="BT59" s="38"/>
      <c r="BU59" s="453">
        <v>50</v>
      </c>
      <c r="BV59" s="1209" t="s">
        <v>1051</v>
      </c>
      <c r="BW59" s="1209"/>
      <c r="BX59" s="820">
        <f>ROUNDDOWN(BX49*0.8,2)</f>
        <v>579.2</v>
      </c>
      <c r="BY59" s="30"/>
      <c r="BZ59" s="23"/>
      <c r="CA59" s="328"/>
      <c r="CB59" s="328"/>
      <c r="CC59" s="16"/>
      <c r="CE59" s="67" t="s">
        <v>820</v>
      </c>
      <c r="CF59" s="83">
        <f t="shared" si="14"/>
        <v>579.2</v>
      </c>
      <c r="CH59" s="14"/>
      <c r="CI59" s="453">
        <v>50</v>
      </c>
      <c r="CJ59" s="1209" t="s">
        <v>1051</v>
      </c>
      <c r="CK59" s="1209"/>
      <c r="CL59" s="813">
        <f t="shared" si="15"/>
        <v>579.2</v>
      </c>
      <c r="CM59" s="455"/>
      <c r="CN59" s="30"/>
      <c r="CO59" s="23"/>
      <c r="CP59" s="15"/>
      <c r="CQ59" s="15"/>
      <c r="CR59" s="16"/>
      <c r="CU59" s="14"/>
      <c r="CV59" s="453">
        <v>50</v>
      </c>
      <c r="CW59" s="1209" t="s">
        <v>1051</v>
      </c>
      <c r="CX59" s="1209"/>
      <c r="CY59" s="813">
        <f t="shared" si="16"/>
        <v>579.2</v>
      </c>
      <c r="CZ59" s="455"/>
      <c r="DA59" s="30"/>
      <c r="DB59" s="23"/>
      <c r="DC59" s="15"/>
      <c r="DD59" s="15"/>
      <c r="DE59" s="16"/>
      <c r="DT59" s="14"/>
      <c r="DU59" s="18"/>
      <c r="DV59" s="15"/>
      <c r="DW59" s="15"/>
      <c r="DX59" s="15"/>
      <c r="DY59" s="15"/>
      <c r="DZ59" s="15"/>
      <c r="EA59" s="15"/>
      <c r="EB59" s="15"/>
      <c r="EC59" s="16"/>
      <c r="EH59" s="349"/>
      <c r="EM59" s="23"/>
      <c r="ER59" s="350"/>
    </row>
    <row r="60" spans="4:148" ht="12.75">
      <c r="D60" s="284"/>
      <c r="G60" s="87"/>
      <c r="H60" s="87"/>
      <c r="I60" s="87"/>
      <c r="J60" s="87"/>
      <c r="L60" s="66" t="s">
        <v>820</v>
      </c>
      <c r="M60" s="65">
        <f aca="true" t="shared" si="19" ref="M60:M66">X12</f>
        <v>1604.77</v>
      </c>
      <c r="N60" s="44"/>
      <c r="O60" s="19"/>
      <c r="P60" s="20"/>
      <c r="Q60" s="20"/>
      <c r="R60" s="20"/>
      <c r="S60" s="20"/>
      <c r="T60" s="21"/>
      <c r="U60" s="21"/>
      <c r="V60" s="21"/>
      <c r="W60" s="21"/>
      <c r="X60" s="21"/>
      <c r="Y60" s="21"/>
      <c r="Z60" s="22"/>
      <c r="AA60" s="18"/>
      <c r="AB60" s="86"/>
      <c r="AE60" s="327"/>
      <c r="AF60" s="329"/>
      <c r="AG60" s="329"/>
      <c r="AH60" s="329"/>
      <c r="AI60" s="329"/>
      <c r="AJ60" s="33"/>
      <c r="AK60" s="34"/>
      <c r="AL60" s="25"/>
      <c r="AO60" s="327"/>
      <c r="AP60" s="329"/>
      <c r="AQ60" s="329"/>
      <c r="AR60" s="329"/>
      <c r="AS60" s="329"/>
      <c r="AT60" s="329"/>
      <c r="AU60" s="33"/>
      <c r="AV60" s="34"/>
      <c r="AW60" s="44"/>
      <c r="AX60" s="25"/>
      <c r="AZ60" s="327"/>
      <c r="BA60" s="329"/>
      <c r="BB60" s="329"/>
      <c r="BC60" s="329"/>
      <c r="BD60" s="329"/>
      <c r="BE60" s="329"/>
      <c r="BF60" s="33"/>
      <c r="BG60" s="34"/>
      <c r="BJ60" s="19"/>
      <c r="BK60" s="20"/>
      <c r="BL60" s="20"/>
      <c r="BM60" s="20"/>
      <c r="BN60" s="20"/>
      <c r="BO60" s="20"/>
      <c r="BP60" s="20"/>
      <c r="BQ60" s="20"/>
      <c r="BR60" s="22"/>
      <c r="BS60" s="26"/>
      <c r="BT60" s="47"/>
      <c r="BU60" s="20"/>
      <c r="BV60" s="20"/>
      <c r="BW60" s="308"/>
      <c r="BX60" s="20"/>
      <c r="BY60" s="20"/>
      <c r="BZ60" s="21"/>
      <c r="CA60" s="20"/>
      <c r="CB60" s="21"/>
      <c r="CC60" s="22"/>
      <c r="CE60" s="86"/>
      <c r="CF60" s="87"/>
      <c r="CH60" s="19"/>
      <c r="CI60" s="20"/>
      <c r="CJ60" s="20"/>
      <c r="CK60" s="20"/>
      <c r="CL60" s="20"/>
      <c r="CM60" s="20"/>
      <c r="CN60" s="20"/>
      <c r="CO60" s="21"/>
      <c r="CP60" s="20"/>
      <c r="CQ60" s="21"/>
      <c r="CR60" s="22"/>
      <c r="CU60" s="19"/>
      <c r="CV60" s="20"/>
      <c r="CW60" s="20"/>
      <c r="CX60" s="20"/>
      <c r="CY60" s="20"/>
      <c r="CZ60" s="20"/>
      <c r="DA60" s="20"/>
      <c r="DB60" s="20"/>
      <c r="DC60" s="20"/>
      <c r="DD60" s="20"/>
      <c r="DE60" s="22"/>
      <c r="DT60" s="19"/>
      <c r="DU60" s="20"/>
      <c r="DV60" s="20"/>
      <c r="DW60" s="20"/>
      <c r="DX60" s="20"/>
      <c r="DY60" s="20"/>
      <c r="DZ60" s="20"/>
      <c r="EA60" s="20"/>
      <c r="EB60" s="21"/>
      <c r="EC60" s="22"/>
      <c r="EH60" s="354"/>
      <c r="EI60" s="355"/>
      <c r="EJ60" s="355"/>
      <c r="EK60" s="355"/>
      <c r="EL60" s="355"/>
      <c r="EM60" s="356"/>
      <c r="EN60" s="356"/>
      <c r="EO60" s="356"/>
      <c r="EP60" s="356"/>
      <c r="EQ60" s="356"/>
      <c r="ER60" s="357"/>
    </row>
    <row r="61" spans="4:133" ht="12.75">
      <c r="D61" s="284"/>
      <c r="G61" s="87"/>
      <c r="H61" s="87"/>
      <c r="I61" s="87"/>
      <c r="J61" s="87"/>
      <c r="L61" s="66" t="s">
        <v>821</v>
      </c>
      <c r="M61" s="65">
        <f t="shared" si="19"/>
        <v>2407.15</v>
      </c>
      <c r="N61" s="44"/>
      <c r="AB61" s="86"/>
      <c r="AE61" s="19"/>
      <c r="AF61" s="21"/>
      <c r="AG61" s="20"/>
      <c r="AH61" s="20"/>
      <c r="AI61" s="20"/>
      <c r="AJ61" s="20"/>
      <c r="AK61" s="22"/>
      <c r="AL61" s="25"/>
      <c r="AO61" s="19"/>
      <c r="AP61" s="21"/>
      <c r="AQ61" s="20"/>
      <c r="AR61" s="20"/>
      <c r="AS61" s="20"/>
      <c r="AT61" s="20"/>
      <c r="AU61" s="20"/>
      <c r="AV61" s="22"/>
      <c r="AW61" s="44"/>
      <c r="AX61" s="25"/>
      <c r="AZ61" s="19"/>
      <c r="BA61" s="21"/>
      <c r="BB61" s="20"/>
      <c r="BC61" s="20"/>
      <c r="BD61" s="20"/>
      <c r="BE61" s="20"/>
      <c r="BF61" s="20"/>
      <c r="BG61" s="22"/>
      <c r="BJ61" s="57"/>
      <c r="BK61" s="15"/>
      <c r="BL61" s="15"/>
      <c r="BM61" s="15"/>
      <c r="BN61" s="15"/>
      <c r="BO61" s="15"/>
      <c r="BP61" s="15"/>
      <c r="BQ61" s="15"/>
      <c r="BR61" s="12"/>
      <c r="BS61" s="26"/>
      <c r="CE61" s="86"/>
      <c r="CF61" s="87"/>
      <c r="CU61" s="57"/>
      <c r="CV61" s="15"/>
      <c r="CW61" s="15"/>
      <c r="CX61" s="15"/>
      <c r="CY61" s="15"/>
      <c r="CZ61" s="15"/>
      <c r="DA61" s="15"/>
      <c r="DB61" s="23"/>
      <c r="DC61" s="15"/>
      <c r="DD61" s="15"/>
      <c r="DE61" s="57"/>
      <c r="DT61" s="57"/>
      <c r="DU61" s="18"/>
      <c r="DV61" s="15"/>
      <c r="DW61" s="15"/>
      <c r="DX61" s="15"/>
      <c r="DY61" s="15"/>
      <c r="DZ61" s="15"/>
      <c r="EA61" s="15"/>
      <c r="EB61" s="15"/>
      <c r="EC61" s="57"/>
    </row>
    <row r="62" spans="4:84" ht="12.75">
      <c r="D62" s="284"/>
      <c r="G62" s="87"/>
      <c r="H62" s="87"/>
      <c r="I62" s="87"/>
      <c r="J62" s="87"/>
      <c r="L62" s="66" t="s">
        <v>822</v>
      </c>
      <c r="M62" s="65">
        <f t="shared" si="19"/>
        <v>3209.54</v>
      </c>
      <c r="N62" s="44"/>
      <c r="V62" s="26"/>
      <c r="W62" s="26"/>
      <c r="X62" s="787"/>
      <c r="Y62" s="767"/>
      <c r="AB62" s="86"/>
      <c r="AL62" s="25"/>
      <c r="AW62" s="44"/>
      <c r="AX62" s="25"/>
      <c r="BS62" s="27"/>
      <c r="CE62" s="86"/>
      <c r="CF62" s="87"/>
    </row>
    <row r="63" spans="4:84" ht="12.75">
      <c r="D63" s="284"/>
      <c r="G63" s="87"/>
      <c r="H63" s="87"/>
      <c r="I63" s="87"/>
      <c r="J63" s="87"/>
      <c r="L63" s="66" t="s">
        <v>823</v>
      </c>
      <c r="M63" s="65">
        <f t="shared" si="19"/>
        <v>1685</v>
      </c>
      <c r="N63" s="44"/>
      <c r="AB63" s="86"/>
      <c r="AL63" s="25"/>
      <c r="AW63" s="44"/>
      <c r="AX63" s="25"/>
      <c r="CE63" s="86"/>
      <c r="CF63" s="87"/>
    </row>
    <row r="64" spans="4:84" ht="12.75">
      <c r="D64" s="284"/>
      <c r="G64" s="87"/>
      <c r="H64" s="87"/>
      <c r="I64" s="87"/>
      <c r="J64" s="87"/>
      <c r="L64" s="66" t="s">
        <v>824</v>
      </c>
      <c r="M64" s="65">
        <f t="shared" si="19"/>
        <v>2527.5</v>
      </c>
      <c r="N64" s="44"/>
      <c r="AB64" s="25"/>
      <c r="AD64" s="26"/>
      <c r="AL64" s="25"/>
      <c r="AN64" s="26"/>
      <c r="AW64" s="44"/>
      <c r="AX64" s="25"/>
      <c r="CE64" s="86"/>
      <c r="CF64" s="87"/>
    </row>
    <row r="65" spans="4:84" ht="12.75">
      <c r="D65" s="284"/>
      <c r="G65" s="87"/>
      <c r="H65" s="87"/>
      <c r="I65" s="87"/>
      <c r="J65" s="87"/>
      <c r="L65" s="66" t="s">
        <v>825</v>
      </c>
      <c r="M65" s="65">
        <f t="shared" si="19"/>
        <v>3370.01</v>
      </c>
      <c r="N65" s="44"/>
      <c r="AB65" s="25"/>
      <c r="AL65" s="25"/>
      <c r="AW65" s="44"/>
      <c r="AX65" s="25"/>
      <c r="CE65" s="86"/>
      <c r="CF65" s="87"/>
    </row>
    <row r="66" spans="4:84" ht="12.75">
      <c r="D66" s="284"/>
      <c r="G66" s="87"/>
      <c r="H66" s="87"/>
      <c r="I66" s="87"/>
      <c r="J66" s="87"/>
      <c r="L66" s="66" t="s">
        <v>826</v>
      </c>
      <c r="M66" s="65">
        <f t="shared" si="19"/>
        <v>1769.25</v>
      </c>
      <c r="N66" s="44"/>
      <c r="AB66" s="25"/>
      <c r="AL66" s="25"/>
      <c r="AW66" s="44"/>
      <c r="AX66" s="25"/>
      <c r="CE66" s="86"/>
      <c r="CF66" s="87"/>
    </row>
    <row r="67" spans="4:84" ht="12.75">
      <c r="D67" s="284"/>
      <c r="G67" s="87"/>
      <c r="H67" s="87"/>
      <c r="I67" s="87"/>
      <c r="J67" s="87"/>
      <c r="L67" s="66" t="s">
        <v>827</v>
      </c>
      <c r="M67" s="65">
        <f>X19</f>
        <v>2653.88</v>
      </c>
      <c r="N67" s="44"/>
      <c r="AB67" s="25"/>
      <c r="AL67" s="25"/>
      <c r="AW67" s="44"/>
      <c r="AX67" s="25"/>
      <c r="CE67" s="86"/>
      <c r="CF67" s="87"/>
    </row>
    <row r="68" spans="4:84" ht="12.75">
      <c r="D68" s="284"/>
      <c r="G68" s="87"/>
      <c r="H68" s="87"/>
      <c r="I68" s="87"/>
      <c r="J68" s="87"/>
      <c r="L68" s="66" t="s">
        <v>800</v>
      </c>
      <c r="M68" s="65">
        <f>X20</f>
        <v>3538.51</v>
      </c>
      <c r="N68" s="44"/>
      <c r="AB68" s="25"/>
      <c r="AL68" s="25"/>
      <c r="AW68" s="44"/>
      <c r="AX68" s="25"/>
      <c r="CE68" s="86"/>
      <c r="CF68" s="87"/>
    </row>
    <row r="69" spans="4:84" ht="12.75">
      <c r="D69" s="284"/>
      <c r="G69" s="87"/>
      <c r="H69" s="87"/>
      <c r="I69" s="87"/>
      <c r="J69" s="87"/>
      <c r="L69" s="66" t="s">
        <v>801</v>
      </c>
      <c r="M69" s="65">
        <f>X21</f>
        <v>1857.71</v>
      </c>
      <c r="N69" s="44"/>
      <c r="AB69" s="25"/>
      <c r="AL69" s="25"/>
      <c r="AW69" s="44"/>
      <c r="AX69" s="25"/>
      <c r="CE69" s="86"/>
      <c r="CF69" s="87"/>
    </row>
    <row r="70" spans="4:50" ht="12.75">
      <c r="D70" s="284"/>
      <c r="G70" s="87"/>
      <c r="H70" s="87"/>
      <c r="I70" s="87"/>
      <c r="J70" s="87"/>
      <c r="L70" s="66" t="s">
        <v>802</v>
      </c>
      <c r="M70" s="65">
        <f>X22</f>
        <v>2786.57</v>
      </c>
      <c r="N70" s="44"/>
      <c r="AB70" s="25"/>
      <c r="AL70" s="25"/>
      <c r="AW70" s="44"/>
      <c r="AX70" s="25"/>
    </row>
    <row r="71" spans="4:50" ht="12.75">
      <c r="D71" s="284"/>
      <c r="G71" s="87"/>
      <c r="H71" s="87"/>
      <c r="I71" s="87"/>
      <c r="J71" s="87"/>
      <c r="L71" s="66" t="s">
        <v>803</v>
      </c>
      <c r="M71" s="65">
        <f>X23</f>
        <v>3715.43</v>
      </c>
      <c r="N71" s="44"/>
      <c r="AB71" s="25"/>
      <c r="AL71" s="25"/>
      <c r="AW71" s="44"/>
      <c r="AX71" s="25"/>
    </row>
    <row r="72" spans="4:13" ht="12.75">
      <c r="D72" s="284"/>
      <c r="L72" s="66" t="s">
        <v>96</v>
      </c>
      <c r="M72" s="65">
        <f aca="true" t="shared" si="20" ref="M72:M77">X24</f>
        <v>1950.6</v>
      </c>
    </row>
    <row r="73" spans="4:13" ht="12.75">
      <c r="D73" s="284"/>
      <c r="L73" s="66" t="s">
        <v>97</v>
      </c>
      <c r="M73" s="65">
        <f t="shared" si="20"/>
        <v>2925.9</v>
      </c>
    </row>
    <row r="74" spans="4:84" ht="12.75">
      <c r="D74" s="284"/>
      <c r="G74" s="77"/>
      <c r="H74" s="77"/>
      <c r="I74" s="77"/>
      <c r="J74" s="77"/>
      <c r="L74" s="66" t="s">
        <v>98</v>
      </c>
      <c r="M74" s="65">
        <f t="shared" si="20"/>
        <v>3901.2</v>
      </c>
      <c r="N74" s="26"/>
      <c r="AB74" s="48"/>
      <c r="AL74" s="48"/>
      <c r="AW74" s="26"/>
      <c r="AX74" s="48"/>
      <c r="CE74" s="82"/>
      <c r="CF74" s="77"/>
    </row>
    <row r="75" spans="4:84" ht="12.75">
      <c r="D75" s="284"/>
      <c r="G75" s="77"/>
      <c r="H75" s="77"/>
      <c r="I75" s="77"/>
      <c r="J75" s="77"/>
      <c r="L75" s="66" t="s">
        <v>99</v>
      </c>
      <c r="M75" s="65">
        <f t="shared" si="20"/>
        <v>2048.13</v>
      </c>
      <c r="N75" s="26"/>
      <c r="AB75" s="48"/>
      <c r="AL75" s="48"/>
      <c r="AW75" s="26"/>
      <c r="AX75" s="48"/>
      <c r="CE75" s="82"/>
      <c r="CF75" s="77"/>
    </row>
    <row r="76" spans="4:84" ht="12.75">
      <c r="D76" s="284"/>
      <c r="G76" s="77"/>
      <c r="H76" s="77"/>
      <c r="I76" s="77"/>
      <c r="J76" s="77"/>
      <c r="L76" s="66" t="s">
        <v>100</v>
      </c>
      <c r="M76" s="65">
        <f t="shared" si="20"/>
        <v>3072.2</v>
      </c>
      <c r="N76" s="26"/>
      <c r="AB76" s="48"/>
      <c r="AL76" s="48"/>
      <c r="AW76" s="26"/>
      <c r="AX76" s="48"/>
      <c r="CE76" s="82"/>
      <c r="CF76" s="77"/>
    </row>
    <row r="77" spans="4:84" ht="13.5" thickBot="1">
      <c r="D77" s="284"/>
      <c r="G77" s="77"/>
      <c r="H77" s="77"/>
      <c r="I77" s="77"/>
      <c r="J77" s="77"/>
      <c r="L77" s="67" t="s">
        <v>101</v>
      </c>
      <c r="M77" s="83">
        <f t="shared" si="20"/>
        <v>4096.27</v>
      </c>
      <c r="N77" s="26"/>
      <c r="AB77" s="48"/>
      <c r="AL77" s="48"/>
      <c r="AW77" s="26"/>
      <c r="AX77" s="48"/>
      <c r="CE77" s="82"/>
      <c r="CF77" s="77"/>
    </row>
    <row r="78" spans="4:84" ht="12.75">
      <c r="D78" s="284"/>
      <c r="G78" s="77"/>
      <c r="H78" s="77"/>
      <c r="I78" s="77"/>
      <c r="J78" s="77"/>
      <c r="L78" s="82"/>
      <c r="M78" s="77"/>
      <c r="N78" s="26"/>
      <c r="AB78" s="48"/>
      <c r="AL78" s="48"/>
      <c r="AW78" s="26"/>
      <c r="AX78" s="48"/>
      <c r="CE78" s="82"/>
      <c r="CF78" s="77"/>
    </row>
    <row r="79" spans="4:84" ht="12.75">
      <c r="D79" s="284"/>
      <c r="G79" s="77"/>
      <c r="H79" s="77"/>
      <c r="I79" s="77"/>
      <c r="J79" s="77"/>
      <c r="L79" s="82"/>
      <c r="M79" s="77"/>
      <c r="N79" s="26"/>
      <c r="AB79" s="48"/>
      <c r="AL79" s="48"/>
      <c r="AW79" s="26"/>
      <c r="AX79" s="48"/>
      <c r="CE79" s="82"/>
      <c r="CF79" s="77"/>
    </row>
    <row r="80" spans="4:84" ht="12.75">
      <c r="D80" s="284"/>
      <c r="G80" s="77"/>
      <c r="H80" s="77"/>
      <c r="I80" s="77"/>
      <c r="J80" s="77"/>
      <c r="L80" s="82"/>
      <c r="M80" s="77"/>
      <c r="N80" s="26"/>
      <c r="AB80" s="48"/>
      <c r="AL80" s="48"/>
      <c r="AW80" s="26"/>
      <c r="AX80" s="48"/>
      <c r="CE80" s="82"/>
      <c r="CF80" s="77"/>
    </row>
    <row r="81" spans="4:84" ht="12.75">
      <c r="D81" s="284"/>
      <c r="G81" s="77"/>
      <c r="H81" s="77"/>
      <c r="I81" s="77"/>
      <c r="J81" s="77"/>
      <c r="L81" s="82"/>
      <c r="M81" s="77"/>
      <c r="N81" s="26"/>
      <c r="AB81" s="48"/>
      <c r="AL81" s="48"/>
      <c r="AW81" s="26"/>
      <c r="AX81" s="48"/>
      <c r="CE81" s="82"/>
      <c r="CF81" s="77"/>
    </row>
    <row r="82" spans="4:84" ht="12.75">
      <c r="D82" s="284"/>
      <c r="G82" s="77"/>
      <c r="H82" s="77"/>
      <c r="I82" s="77"/>
      <c r="J82" s="77"/>
      <c r="L82" s="82"/>
      <c r="M82" s="77"/>
      <c r="N82" s="26"/>
      <c r="AB82" s="48"/>
      <c r="AL82" s="48"/>
      <c r="AW82" s="26"/>
      <c r="AX82" s="48"/>
      <c r="CE82" s="82"/>
      <c r="CF82" s="77"/>
    </row>
    <row r="83" spans="4:84" ht="12.75">
      <c r="D83" s="284"/>
      <c r="G83" s="77"/>
      <c r="H83" s="77"/>
      <c r="I83" s="77"/>
      <c r="J83" s="77"/>
      <c r="L83" s="82"/>
      <c r="M83" s="77"/>
      <c r="N83" s="26"/>
      <c r="AB83" s="48"/>
      <c r="AL83" s="48"/>
      <c r="AW83" s="26"/>
      <c r="AX83" s="48"/>
      <c r="CE83" s="82"/>
      <c r="CF83" s="77"/>
    </row>
    <row r="84" spans="4:84" ht="12.75">
      <c r="D84" s="279"/>
      <c r="G84" s="77"/>
      <c r="H84" s="77"/>
      <c r="I84" s="77"/>
      <c r="J84" s="77"/>
      <c r="L84" s="82"/>
      <c r="M84" s="77"/>
      <c r="N84" s="26"/>
      <c r="AB84" s="48"/>
      <c r="AL84" s="48"/>
      <c r="AW84" s="26"/>
      <c r="AX84" s="48"/>
      <c r="CE84" s="82"/>
      <c r="CF84" s="77"/>
    </row>
    <row r="85" ht="12.75">
      <c r="D85" s="279"/>
    </row>
    <row r="86" ht="12.75">
      <c r="D86" s="279"/>
    </row>
    <row r="87" ht="12.75">
      <c r="D87" s="279"/>
    </row>
    <row r="88" ht="12.75">
      <c r="D88" s="279"/>
    </row>
    <row r="89" ht="12.75">
      <c r="D89" s="279"/>
    </row>
    <row r="90" ht="12.75">
      <c r="D90" s="279"/>
    </row>
    <row r="91" ht="12.75">
      <c r="D91" s="279"/>
    </row>
    <row r="92" ht="12.75">
      <c r="D92" s="279"/>
    </row>
    <row r="93" ht="12.75">
      <c r="D93" s="279"/>
    </row>
    <row r="94" ht="12.75">
      <c r="D94" s="279"/>
    </row>
    <row r="95" ht="12.75">
      <c r="D95" s="279"/>
    </row>
    <row r="96" ht="12.75">
      <c r="D96" s="279"/>
    </row>
    <row r="97" ht="12.75">
      <c r="D97" s="279"/>
    </row>
    <row r="98" ht="12.75">
      <c r="D98" s="279"/>
    </row>
    <row r="99" ht="12.75">
      <c r="D99" s="279"/>
    </row>
    <row r="100" ht="12.75">
      <c r="D100" s="279"/>
    </row>
    <row r="101" ht="12.75">
      <c r="D101" s="279"/>
    </row>
    <row r="102" ht="12.75">
      <c r="D102" s="279"/>
    </row>
    <row r="103" ht="12.75">
      <c r="D103" s="279"/>
    </row>
    <row r="105" spans="1:3" ht="12.75">
      <c r="A105" s="77"/>
      <c r="B105" s="848"/>
      <c r="C105" s="78"/>
    </row>
    <row r="106" ht="12.75">
      <c r="C106" s="78"/>
    </row>
    <row r="107" ht="12.75">
      <c r="C107" s="78"/>
    </row>
    <row r="108" spans="1:3" ht="12.75">
      <c r="A108" s="77"/>
      <c r="B108" s="849"/>
      <c r="C108" s="77"/>
    </row>
    <row r="109" ht="12.75">
      <c r="C109" s="78"/>
    </row>
    <row r="110" spans="1:3" ht="12.75">
      <c r="A110" s="77"/>
      <c r="B110" s="849"/>
      <c r="C110" s="77"/>
    </row>
    <row r="111" spans="1:3" ht="12.75">
      <c r="A111" s="77"/>
      <c r="B111" s="849"/>
      <c r="C111" s="77"/>
    </row>
    <row r="112" spans="1:3" ht="12.75">
      <c r="A112" s="77"/>
      <c r="B112" s="849"/>
      <c r="C112" s="77"/>
    </row>
    <row r="141" spans="2:3" ht="12.75">
      <c r="B141" s="850"/>
      <c r="C141" s="27"/>
    </row>
  </sheetData>
  <sheetProtection/>
  <mergeCells count="246">
    <mergeCell ref="CJ19:CJ20"/>
    <mergeCell ref="CW21:CW22"/>
    <mergeCell ref="BV15:BV16"/>
    <mergeCell ref="EI8:EP9"/>
    <mergeCell ref="EI11:EP12"/>
    <mergeCell ref="BV10:BV14"/>
    <mergeCell ref="BB56:BB58"/>
    <mergeCell ref="CW44:CX44"/>
    <mergeCell ref="BV44:BW44"/>
    <mergeCell ref="CJ54:CK54"/>
    <mergeCell ref="CJ47:CK47"/>
    <mergeCell ref="BB53:BB55"/>
    <mergeCell ref="BV45:BW45"/>
    <mergeCell ref="BV58:BW58"/>
    <mergeCell ref="BV56:BW56"/>
    <mergeCell ref="BV47:BW47"/>
    <mergeCell ref="BB14:BB16"/>
    <mergeCell ref="DV5:EA5"/>
    <mergeCell ref="DJ5:DM5"/>
    <mergeCell ref="DD4:DE4"/>
    <mergeCell ref="CJ17:CJ18"/>
    <mergeCell ref="CJ15:CJ16"/>
    <mergeCell ref="DJ4:DM4"/>
    <mergeCell ref="BQ4:BR4"/>
    <mergeCell ref="BM18:BM20"/>
    <mergeCell ref="BM15:BM17"/>
    <mergeCell ref="CW25:CW26"/>
    <mergeCell ref="CW27:CW28"/>
    <mergeCell ref="BV21:BV22"/>
    <mergeCell ref="CJ21:CJ22"/>
    <mergeCell ref="EQ3:ER3"/>
    <mergeCell ref="EH4:EI4"/>
    <mergeCell ref="EJ4:EP4"/>
    <mergeCell ref="EQ4:ER4"/>
    <mergeCell ref="EJ5:EP5"/>
    <mergeCell ref="CW19:CW20"/>
    <mergeCell ref="EH3:EI3"/>
    <mergeCell ref="EJ3:EP3"/>
    <mergeCell ref="EB3:EC3"/>
    <mergeCell ref="DH3:DJ3"/>
    <mergeCell ref="DH4:DI4"/>
    <mergeCell ref="DV4:EA4"/>
    <mergeCell ref="DT3:DU3"/>
    <mergeCell ref="DV3:EA3"/>
    <mergeCell ref="DN4:DQ4"/>
    <mergeCell ref="DN3:DQ3"/>
    <mergeCell ref="EB4:EC4"/>
    <mergeCell ref="CW17:CW18"/>
    <mergeCell ref="DD3:DE3"/>
    <mergeCell ref="CW4:DC4"/>
    <mergeCell ref="CW3:DC3"/>
    <mergeCell ref="CW15:CW16"/>
    <mergeCell ref="CW10:CW14"/>
    <mergeCell ref="AQ38:AQ40"/>
    <mergeCell ref="BB50:BB52"/>
    <mergeCell ref="BB47:BB49"/>
    <mergeCell ref="BB44:BB46"/>
    <mergeCell ref="CJ10:CJ14"/>
    <mergeCell ref="CJ48:CK48"/>
    <mergeCell ref="BB41:BB43"/>
    <mergeCell ref="BV50:BW50"/>
    <mergeCell ref="BV46:BW46"/>
    <mergeCell ref="BB26:BB28"/>
    <mergeCell ref="CJ3:CP3"/>
    <mergeCell ref="CJ4:CP4"/>
    <mergeCell ref="CU4:CV4"/>
    <mergeCell ref="AQ41:AQ43"/>
    <mergeCell ref="BB38:BB40"/>
    <mergeCell ref="CQ3:CR3"/>
    <mergeCell ref="CU3:CV3"/>
    <mergeCell ref="CQ4:CR4"/>
    <mergeCell ref="CJ23:CJ24"/>
    <mergeCell ref="BB23:BB25"/>
    <mergeCell ref="AQ10:AQ13"/>
    <mergeCell ref="BM12:BM14"/>
    <mergeCell ref="BB17:BB19"/>
    <mergeCell ref="BB20:BB22"/>
    <mergeCell ref="BL10:BP10"/>
    <mergeCell ref="AQ35:AQ37"/>
    <mergeCell ref="AQ14:AQ16"/>
    <mergeCell ref="AQ17:AQ19"/>
    <mergeCell ref="AQ20:AQ22"/>
    <mergeCell ref="AQ23:AQ25"/>
    <mergeCell ref="AQ29:AQ31"/>
    <mergeCell ref="AQ32:AQ34"/>
    <mergeCell ref="AQ26:AQ28"/>
    <mergeCell ref="BV37:BV38"/>
    <mergeCell ref="BT3:BU3"/>
    <mergeCell ref="BT4:BU4"/>
    <mergeCell ref="BA4:BE4"/>
    <mergeCell ref="BQ3:BR3"/>
    <mergeCell ref="BM21:BM23"/>
    <mergeCell ref="BB10:BB13"/>
    <mergeCell ref="BB29:BB31"/>
    <mergeCell ref="BB32:BB34"/>
    <mergeCell ref="BB35:BB37"/>
    <mergeCell ref="CH3:CI3"/>
    <mergeCell ref="BV39:BV42"/>
    <mergeCell ref="BV43:BW43"/>
    <mergeCell ref="CB3:CC3"/>
    <mergeCell ref="CB4:CC4"/>
    <mergeCell ref="CH4:CI4"/>
    <mergeCell ref="BV31:BV32"/>
    <mergeCell ref="BV48:BW48"/>
    <mergeCell ref="BV17:BV18"/>
    <mergeCell ref="BV19:BV20"/>
    <mergeCell ref="BV29:BV30"/>
    <mergeCell ref="BV4:CA4"/>
    <mergeCell ref="BV23:BV24"/>
    <mergeCell ref="BV27:BV28"/>
    <mergeCell ref="BV35:BV36"/>
    <mergeCell ref="BV33:BV34"/>
    <mergeCell ref="BJ3:BK3"/>
    <mergeCell ref="BL4:BP4"/>
    <mergeCell ref="BL3:BP3"/>
    <mergeCell ref="BF4:BG4"/>
    <mergeCell ref="BF3:BG3"/>
    <mergeCell ref="BV25:BV26"/>
    <mergeCell ref="BV3:CA3"/>
    <mergeCell ref="AU3:AV3"/>
    <mergeCell ref="BA3:BE3"/>
    <mergeCell ref="AU4:AV4"/>
    <mergeCell ref="Q3:W3"/>
    <mergeCell ref="Q20:Q22"/>
    <mergeCell ref="V21:V23"/>
    <mergeCell ref="Q17:Q19"/>
    <mergeCell ref="Q4:W4"/>
    <mergeCell ref="AP3:AT3"/>
    <mergeCell ref="AP4:AT4"/>
    <mergeCell ref="Q10:Q13"/>
    <mergeCell ref="V37:V38"/>
    <mergeCell ref="V18:V20"/>
    <mergeCell ref="Q14:Q16"/>
    <mergeCell ref="V35:V36"/>
    <mergeCell ref="U10:X10"/>
    <mergeCell ref="V12:V14"/>
    <mergeCell ref="V15:V17"/>
    <mergeCell ref="Q53:Q55"/>
    <mergeCell ref="Q23:Q25"/>
    <mergeCell ref="Q29:Q31"/>
    <mergeCell ref="Q32:Q34"/>
    <mergeCell ref="Q35:Q37"/>
    <mergeCell ref="Q38:Q40"/>
    <mergeCell ref="Q41:Q43"/>
    <mergeCell ref="Q44:Q46"/>
    <mergeCell ref="Q47:Q49"/>
    <mergeCell ref="AQ56:AQ58"/>
    <mergeCell ref="AQ44:AQ46"/>
    <mergeCell ref="AQ47:AQ49"/>
    <mergeCell ref="V45:W45"/>
    <mergeCell ref="AQ53:AQ55"/>
    <mergeCell ref="AQ50:AQ52"/>
    <mergeCell ref="AG53:AG55"/>
    <mergeCell ref="V50:X50"/>
    <mergeCell ref="AG56:AG58"/>
    <mergeCell ref="AG50:AG52"/>
    <mergeCell ref="CJ27:CJ28"/>
    <mergeCell ref="CJ25:CJ26"/>
    <mergeCell ref="CJ31:CJ32"/>
    <mergeCell ref="CJ33:CJ34"/>
    <mergeCell ref="BV59:BW59"/>
    <mergeCell ref="BV52:BW52"/>
    <mergeCell ref="BV53:BW53"/>
    <mergeCell ref="BV54:BW54"/>
    <mergeCell ref="BV55:BW55"/>
    <mergeCell ref="BV57:BW57"/>
    <mergeCell ref="CJ59:CK59"/>
    <mergeCell ref="CJ58:CK58"/>
    <mergeCell ref="CJ56:CK56"/>
    <mergeCell ref="CJ53:CK53"/>
    <mergeCell ref="CJ55:CK55"/>
    <mergeCell ref="CW59:CX59"/>
    <mergeCell ref="CW53:CX53"/>
    <mergeCell ref="CW54:CX54"/>
    <mergeCell ref="CW55:CX55"/>
    <mergeCell ref="CW56:CX56"/>
    <mergeCell ref="CW58:CX58"/>
    <mergeCell ref="CW46:CX46"/>
    <mergeCell ref="CW45:CX45"/>
    <mergeCell ref="CJ29:CJ30"/>
    <mergeCell ref="CJ57:CK57"/>
    <mergeCell ref="CW43:CX43"/>
    <mergeCell ref="CJ46:CK46"/>
    <mergeCell ref="CJ44:CK44"/>
    <mergeCell ref="CJ45:CK45"/>
    <mergeCell ref="CJ39:CJ42"/>
    <mergeCell ref="CW52:CX52"/>
    <mergeCell ref="CW51:CX51"/>
    <mergeCell ref="CW47:CX47"/>
    <mergeCell ref="CW48:CX48"/>
    <mergeCell ref="CW49:CX49"/>
    <mergeCell ref="CW57:CX57"/>
    <mergeCell ref="CW50:CX50"/>
    <mergeCell ref="CJ43:CK43"/>
    <mergeCell ref="CJ35:CJ36"/>
    <mergeCell ref="CJ37:CJ38"/>
    <mergeCell ref="CW37:CW38"/>
    <mergeCell ref="CW33:CW34"/>
    <mergeCell ref="CW29:CW30"/>
    <mergeCell ref="CW31:CW32"/>
    <mergeCell ref="CW35:CW36"/>
    <mergeCell ref="CW39:CW42"/>
    <mergeCell ref="CJ51:CK51"/>
    <mergeCell ref="BV51:BW51"/>
    <mergeCell ref="CJ49:CK49"/>
    <mergeCell ref="CJ50:CK50"/>
    <mergeCell ref="CJ52:CK52"/>
    <mergeCell ref="BV49:BW49"/>
    <mergeCell ref="I3:K3"/>
    <mergeCell ref="I9:I10"/>
    <mergeCell ref="J9:J10"/>
    <mergeCell ref="Q56:Q58"/>
    <mergeCell ref="Q26:Q28"/>
    <mergeCell ref="Q50:Q52"/>
    <mergeCell ref="O3:P3"/>
    <mergeCell ref="O4:P4"/>
    <mergeCell ref="Q5:W5"/>
    <mergeCell ref="V53:W53"/>
    <mergeCell ref="AG32:AG34"/>
    <mergeCell ref="AF3:AI3"/>
    <mergeCell ref="AJ3:AK3"/>
    <mergeCell ref="AF4:AI4"/>
    <mergeCell ref="AJ4:AK4"/>
    <mergeCell ref="AG10:AG13"/>
    <mergeCell ref="AG14:AG16"/>
    <mergeCell ref="AF5:AI5"/>
    <mergeCell ref="AG35:AG37"/>
    <mergeCell ref="AG38:AG40"/>
    <mergeCell ref="AG41:AG43"/>
    <mergeCell ref="AG44:AG46"/>
    <mergeCell ref="AG47:AG49"/>
    <mergeCell ref="AG17:AG19"/>
    <mergeCell ref="AG20:AG22"/>
    <mergeCell ref="AG23:AG25"/>
    <mergeCell ref="AG26:AG28"/>
    <mergeCell ref="AG29:AG31"/>
    <mergeCell ref="V54:W54"/>
    <mergeCell ref="V55:W55"/>
    <mergeCell ref="U58:W58"/>
    <mergeCell ref="Y3:Z3"/>
    <mergeCell ref="Y4:Z4"/>
    <mergeCell ref="V24:V26"/>
    <mergeCell ref="V27:V29"/>
    <mergeCell ref="V33:X33"/>
    <mergeCell ref="V39:V40"/>
    <mergeCell ref="V52:W52"/>
  </mergeCells>
  <printOptions horizontalCentered="1" verticalCentered="1"/>
  <pageMargins left="0.4" right="0.27" top="0.31" bottom="0.23" header="0.31496062992125984" footer="0.23"/>
  <pageSetup fitToHeight="1" fitToWidth="1" horizontalDpi="600" verticalDpi="600" orientation="portrait" paperSize="9" r:id="rId1"/>
  <ignoredErrors>
    <ignoredError sqref="AP10:AP11 AR10:AR11 BA10:BA11 BC10:BC11 BU10:BU11 BW10:BW11 CI10:CI11 CK10:CK11 CV10:CV11 CX10:CX11 DJ10:DJ11 DV10:DV11" numberStoredAsText="1"/>
    <ignoredError sqref="DN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W129"/>
  <sheetViews>
    <sheetView zoomScale="95" zoomScaleNormal="95" zoomScalePageLayoutView="0" workbookViewId="0" topLeftCell="L1">
      <selection activeCell="J10" sqref="J10:K33"/>
    </sheetView>
  </sheetViews>
  <sheetFormatPr defaultColWidth="9.140625" defaultRowHeight="12.75"/>
  <cols>
    <col min="1" max="2" width="12.57421875" style="31" hidden="1" customWidth="1"/>
    <col min="3" max="3" width="9.140625" style="31" customWidth="1"/>
    <col min="4" max="4" width="6.7109375" style="31" customWidth="1"/>
    <col min="5" max="5" width="9.140625" style="79" customWidth="1"/>
    <col min="6" max="6" width="47.8515625" style="31" customWidth="1"/>
    <col min="7" max="7" width="10.421875" style="31" customWidth="1"/>
    <col min="8" max="8" width="6.8515625" style="31" customWidth="1"/>
    <col min="9" max="9" width="11.28125" style="31" customWidth="1"/>
    <col min="10" max="11" width="12.57421875" style="31" hidden="1" customWidth="1"/>
    <col min="12" max="12" width="2.421875" style="31" customWidth="1"/>
    <col min="13" max="13" width="13.7109375" style="31" customWidth="1"/>
    <col min="14" max="14" width="9.140625" style="79" customWidth="1"/>
    <col min="15" max="15" width="39.00390625" style="31" customWidth="1"/>
    <col min="16" max="16" width="9.421875" style="31" customWidth="1"/>
    <col min="17" max="17" width="14.421875" style="31" customWidth="1"/>
    <col min="18" max="18" width="3.140625" style="31" customWidth="1"/>
    <col min="19" max="20" width="9.140625" style="77" customWidth="1"/>
    <col min="21" max="16384" width="9.140625" style="31" customWidth="1"/>
  </cols>
  <sheetData>
    <row r="2" spans="4:23" ht="15">
      <c r="D2" s="117"/>
      <c r="E2" s="147"/>
      <c r="F2" s="118"/>
      <c r="G2" s="118"/>
      <c r="H2" s="97"/>
      <c r="M2" s="117"/>
      <c r="N2" s="147"/>
      <c r="O2" s="118"/>
      <c r="P2" s="118"/>
      <c r="Q2" s="119"/>
      <c r="T2" s="956"/>
      <c r="U2" s="126"/>
      <c r="V2" s="126"/>
      <c r="W2" s="76"/>
    </row>
    <row r="3" spans="4:17" ht="15">
      <c r="D3" s="1216" t="s">
        <v>1353</v>
      </c>
      <c r="E3" s="1193"/>
      <c r="F3" s="90" t="s">
        <v>1352</v>
      </c>
      <c r="G3" s="1193" t="s">
        <v>1080</v>
      </c>
      <c r="H3" s="1214"/>
      <c r="M3" s="1216" t="s">
        <v>274</v>
      </c>
      <c r="N3" s="1482"/>
      <c r="O3" s="90" t="s">
        <v>331</v>
      </c>
      <c r="P3" s="1193" t="s">
        <v>1080</v>
      </c>
      <c r="Q3" s="1214"/>
    </row>
    <row r="4" spans="4:20" ht="15">
      <c r="D4" s="1472"/>
      <c r="E4" s="1473"/>
      <c r="F4" s="326" t="s">
        <v>1351</v>
      </c>
      <c r="G4" s="1483">
        <f>MAX(VLOOKUP("TV GERAL 12 40H",RHE,5,FALSE),VLOOKUP("TV FAZENDA 11 40H",RHE,5,FALSE),VLOOKUP("TV FAZENDA 07 40H",RHE,5,FALSE))</f>
        <v>41640</v>
      </c>
      <c r="H4" s="1484"/>
      <c r="M4" s="120"/>
      <c r="N4" s="90"/>
      <c r="O4" s="90" t="s">
        <v>700</v>
      </c>
      <c r="P4" s="1194">
        <f>MAX(VLOOKUP("TV FAZENDA 03 40H",RHE,5,FALSE),VLOOKUP("TV FAZENDA 06 40H",RHE,5,FALSE),VLOOKUP("TV FAZENDA 11 40H",RHE,5,FALSE))</f>
        <v>41640</v>
      </c>
      <c r="Q4" s="1195"/>
      <c r="S4" s="957"/>
      <c r="T4" s="958"/>
    </row>
    <row r="5" spans="4:17" ht="12">
      <c r="D5" s="106"/>
      <c r="E5" s="148"/>
      <c r="F5" s="104"/>
      <c r="G5" s="104"/>
      <c r="H5" s="107"/>
      <c r="M5" s="106"/>
      <c r="N5" s="148"/>
      <c r="O5" s="129"/>
      <c r="P5" s="129"/>
      <c r="Q5" s="107"/>
    </row>
    <row r="6" spans="4:17" ht="12">
      <c r="D6" s="108"/>
      <c r="E6" s="112"/>
      <c r="F6" s="29"/>
      <c r="G6" s="29"/>
      <c r="H6" s="109"/>
      <c r="M6" s="108"/>
      <c r="Q6" s="109"/>
    </row>
    <row r="7" spans="4:17" ht="12">
      <c r="D7" s="108"/>
      <c r="E7" s="112"/>
      <c r="F7" s="29"/>
      <c r="G7" s="29"/>
      <c r="H7" s="109"/>
      <c r="M7" s="108"/>
      <c r="N7" s="1290" t="s">
        <v>721</v>
      </c>
      <c r="O7" s="1290" t="s">
        <v>227</v>
      </c>
      <c r="P7" s="1290" t="s">
        <v>1031</v>
      </c>
      <c r="Q7" s="109"/>
    </row>
    <row r="8" spans="4:17" ht="12">
      <c r="D8" s="108"/>
      <c r="E8" s="1290" t="s">
        <v>721</v>
      </c>
      <c r="F8" s="1296" t="s">
        <v>227</v>
      </c>
      <c r="G8" s="1296" t="s">
        <v>1408</v>
      </c>
      <c r="H8" s="109"/>
      <c r="M8" s="108"/>
      <c r="N8" s="1291"/>
      <c r="O8" s="1291"/>
      <c r="P8" s="1291"/>
      <c r="Q8" s="109"/>
    </row>
    <row r="9" spans="4:17" ht="13.5" customHeight="1" thickBot="1">
      <c r="D9" s="108"/>
      <c r="E9" s="1291"/>
      <c r="F9" s="1297"/>
      <c r="G9" s="1297"/>
      <c r="H9" s="109"/>
      <c r="M9" s="108"/>
      <c r="Q9" s="109"/>
    </row>
    <row r="10" spans="1:17" ht="12">
      <c r="A10" s="62" t="s">
        <v>137</v>
      </c>
      <c r="B10" s="63">
        <f>TAB11_DATA_VAL</f>
        <v>41640</v>
      </c>
      <c r="D10" s="108"/>
      <c r="E10" s="112"/>
      <c r="F10" s="29" t="s">
        <v>1079</v>
      </c>
      <c r="G10" s="29"/>
      <c r="H10" s="109"/>
      <c r="J10" s="62" t="s">
        <v>138</v>
      </c>
      <c r="K10" s="63">
        <f>TAB13_DATA_VAL</f>
        <v>41640</v>
      </c>
      <c r="M10" s="108"/>
      <c r="N10" s="459" t="s">
        <v>1411</v>
      </c>
      <c r="O10" s="460" t="s">
        <v>703</v>
      </c>
      <c r="P10" s="880">
        <f>VLOOKUP("TV FAZENDA 03 40H",RHE,10,FALSE)</f>
        <v>930.22</v>
      </c>
      <c r="Q10" s="109"/>
    </row>
    <row r="11" spans="1:17" ht="12">
      <c r="A11" s="66" t="s">
        <v>718</v>
      </c>
      <c r="B11" s="65">
        <f>G11</f>
        <v>602.5</v>
      </c>
      <c r="D11" s="108"/>
      <c r="E11" s="459" t="s">
        <v>1300</v>
      </c>
      <c r="F11" s="460" t="s">
        <v>317</v>
      </c>
      <c r="G11" s="805">
        <f>VLOOKUP("TV GERAL 12 40H",RHE,10,FALSE)</f>
        <v>602.5</v>
      </c>
      <c r="H11" s="109"/>
      <c r="J11" s="186" t="s">
        <v>139</v>
      </c>
      <c r="K11" s="65">
        <f>P14</f>
        <v>10940</v>
      </c>
      <c r="M11" s="108"/>
      <c r="N11" s="461" t="s">
        <v>1412</v>
      </c>
      <c r="O11" s="462" t="s">
        <v>702</v>
      </c>
      <c r="P11" s="807">
        <f>VLOOKUP("TV FAZENDA 02 40H",RHE,10,FALSE)</f>
        <v>1006.59</v>
      </c>
      <c r="Q11" s="109"/>
    </row>
    <row r="12" spans="1:17" ht="12">
      <c r="A12" s="66" t="s">
        <v>719</v>
      </c>
      <c r="B12" s="65">
        <f>G13</f>
        <v>602.5</v>
      </c>
      <c r="D12" s="108"/>
      <c r="E12" s="466"/>
      <c r="F12" s="467"/>
      <c r="G12" s="879"/>
      <c r="H12" s="109"/>
      <c r="J12" s="186" t="s">
        <v>140</v>
      </c>
      <c r="K12" s="65">
        <f>P15</f>
        <v>11377.6</v>
      </c>
      <c r="M12" s="108"/>
      <c r="N12" s="461" t="s">
        <v>1413</v>
      </c>
      <c r="O12" s="462" t="s">
        <v>701</v>
      </c>
      <c r="P12" s="806">
        <f>VLOOKUP("TV FAZENDA 01 40H",RHE,10,FALSE)</f>
        <v>1065.68</v>
      </c>
      <c r="Q12" s="109"/>
    </row>
    <row r="13" spans="1:17" ht="12">
      <c r="A13" s="66" t="s">
        <v>720</v>
      </c>
      <c r="B13" s="65">
        <f>G15</f>
        <v>602.5</v>
      </c>
      <c r="D13" s="108"/>
      <c r="E13" s="461" t="s">
        <v>1301</v>
      </c>
      <c r="F13" s="462" t="s">
        <v>315</v>
      </c>
      <c r="G13" s="806">
        <f>G11</f>
        <v>602.5</v>
      </c>
      <c r="H13" s="109"/>
      <c r="J13" s="186" t="s">
        <v>141</v>
      </c>
      <c r="K13" s="65">
        <f>P16</f>
        <v>11705.8</v>
      </c>
      <c r="M13" s="108"/>
      <c r="Q13" s="109"/>
    </row>
    <row r="14" spans="1:17" ht="12">
      <c r="A14" s="66" t="s">
        <v>879</v>
      </c>
      <c r="B14" s="65">
        <f>G17</f>
        <v>602.5</v>
      </c>
      <c r="D14" s="108"/>
      <c r="E14" s="466"/>
      <c r="F14" s="467"/>
      <c r="G14" s="879"/>
      <c r="H14" s="109"/>
      <c r="J14" s="186" t="s">
        <v>142</v>
      </c>
      <c r="K14" s="65">
        <f>P17</f>
        <v>12034</v>
      </c>
      <c r="M14" s="108"/>
      <c r="N14" s="461" t="s">
        <v>1300</v>
      </c>
      <c r="O14" s="462" t="s">
        <v>332</v>
      </c>
      <c r="P14" s="806">
        <f>VLOOKUP("TV FAZENDA 06 40H",RHE,10,FALSE)</f>
        <v>10940</v>
      </c>
      <c r="Q14" s="109"/>
    </row>
    <row r="15" spans="1:17" ht="12">
      <c r="A15" s="66" t="s">
        <v>727</v>
      </c>
      <c r="B15" s="65">
        <f>G19</f>
        <v>355.25</v>
      </c>
      <c r="D15" s="108"/>
      <c r="E15" s="461" t="s">
        <v>1302</v>
      </c>
      <c r="F15" s="462" t="s">
        <v>318</v>
      </c>
      <c r="G15" s="806">
        <f>G11</f>
        <v>602.5</v>
      </c>
      <c r="H15" s="109"/>
      <c r="J15" s="186" t="s">
        <v>143</v>
      </c>
      <c r="K15" s="65">
        <f>P32</f>
        <v>10940</v>
      </c>
      <c r="M15" s="108"/>
      <c r="N15" s="461" t="s">
        <v>1301</v>
      </c>
      <c r="O15" s="462" t="s">
        <v>333</v>
      </c>
      <c r="P15" s="806">
        <f>VLOOKUP("TV FAZENDA 07 40H",RHE,10,FALSE)</f>
        <v>11377.6</v>
      </c>
      <c r="Q15" s="109"/>
    </row>
    <row r="16" spans="1:17" ht="12">
      <c r="A16" s="66" t="s">
        <v>728</v>
      </c>
      <c r="B16" s="65">
        <f>G21</f>
        <v>545.01</v>
      </c>
      <c r="D16" s="108"/>
      <c r="E16" s="466"/>
      <c r="F16" s="467"/>
      <c r="G16" s="879"/>
      <c r="H16" s="109"/>
      <c r="J16" s="186" t="s">
        <v>144</v>
      </c>
      <c r="K16" s="65">
        <f>P33</f>
        <v>11377.6</v>
      </c>
      <c r="M16" s="108"/>
      <c r="N16" s="461" t="s">
        <v>1302</v>
      </c>
      <c r="O16" s="462" t="s">
        <v>334</v>
      </c>
      <c r="P16" s="806">
        <f>VLOOKUP("TV FAZENDA 08 40H",RHE,10,FALSE)</f>
        <v>11705.8</v>
      </c>
      <c r="Q16" s="109"/>
    </row>
    <row r="17" spans="1:17" ht="12">
      <c r="A17" s="66" t="s">
        <v>271</v>
      </c>
      <c r="B17" s="65">
        <f>G23</f>
        <v>518.68</v>
      </c>
      <c r="D17" s="108"/>
      <c r="E17" s="461" t="s">
        <v>1305</v>
      </c>
      <c r="F17" s="462" t="s">
        <v>319</v>
      </c>
      <c r="G17" s="806">
        <f>G11</f>
        <v>602.5</v>
      </c>
      <c r="H17" s="109"/>
      <c r="J17" s="186" t="s">
        <v>145</v>
      </c>
      <c r="K17" s="65">
        <f>P34</f>
        <v>11705.8</v>
      </c>
      <c r="M17" s="108"/>
      <c r="N17" s="461" t="s">
        <v>1303</v>
      </c>
      <c r="O17" s="462" t="s">
        <v>335</v>
      </c>
      <c r="P17" s="806">
        <f>VLOOKUP("TV FAZENDA 09 40H",RHE,10,FALSE)</f>
        <v>12034</v>
      </c>
      <c r="Q17" s="109"/>
    </row>
    <row r="18" spans="1:17" ht="12">
      <c r="A18" s="66" t="s">
        <v>272</v>
      </c>
      <c r="B18" s="65">
        <f>G25</f>
        <v>4620</v>
      </c>
      <c r="D18" s="108"/>
      <c r="E18" s="466"/>
      <c r="F18" s="467"/>
      <c r="G18" s="879"/>
      <c r="H18" s="109"/>
      <c r="J18" s="186" t="s">
        <v>146</v>
      </c>
      <c r="K18" s="65">
        <f>P35</f>
        <v>12034</v>
      </c>
      <c r="M18" s="108"/>
      <c r="Q18" s="109"/>
    </row>
    <row r="19" spans="1:17" ht="12">
      <c r="A19" s="66" t="s">
        <v>813</v>
      </c>
      <c r="B19" s="65">
        <f>G27</f>
        <v>4620</v>
      </c>
      <c r="D19" s="108"/>
      <c r="E19" s="461" t="s">
        <v>196</v>
      </c>
      <c r="F19" s="462" t="s">
        <v>320</v>
      </c>
      <c r="G19" s="806">
        <f>VLOOKUP("TV GERAL 01 40H",RHE,10,FALSE)</f>
        <v>355.25</v>
      </c>
      <c r="H19" s="109"/>
      <c r="J19" s="186" t="s">
        <v>147</v>
      </c>
      <c r="K19" s="65">
        <f>P26</f>
        <v>4620</v>
      </c>
      <c r="M19" s="108"/>
      <c r="N19" s="461" t="s">
        <v>1304</v>
      </c>
      <c r="O19" s="462" t="s">
        <v>336</v>
      </c>
      <c r="P19" s="806">
        <f>P14</f>
        <v>10940</v>
      </c>
      <c r="Q19" s="109"/>
    </row>
    <row r="20" spans="1:17" ht="12">
      <c r="A20" s="66" t="s">
        <v>814</v>
      </c>
      <c r="B20" s="65">
        <f>G29</f>
        <v>4620</v>
      </c>
      <c r="D20" s="108"/>
      <c r="E20" s="466"/>
      <c r="F20" s="467"/>
      <c r="G20" s="467"/>
      <c r="H20" s="109"/>
      <c r="J20" s="186" t="s">
        <v>148</v>
      </c>
      <c r="K20" s="65">
        <f>P27</f>
        <v>4897.2</v>
      </c>
      <c r="M20" s="108"/>
      <c r="N20" s="461" t="s">
        <v>1305</v>
      </c>
      <c r="O20" s="462" t="s">
        <v>337</v>
      </c>
      <c r="P20" s="806">
        <f>P15</f>
        <v>11377.6</v>
      </c>
      <c r="Q20" s="109"/>
    </row>
    <row r="21" spans="1:17" ht="12">
      <c r="A21" s="66" t="s">
        <v>815</v>
      </c>
      <c r="B21" s="65">
        <f>G31</f>
        <v>4620</v>
      </c>
      <c r="D21" s="108"/>
      <c r="E21" s="461" t="s">
        <v>197</v>
      </c>
      <c r="F21" s="462" t="s">
        <v>316</v>
      </c>
      <c r="G21" s="807">
        <f>VLOOKUP("TV GERAL 10 40H",RHE,10,FALSE)</f>
        <v>545.01</v>
      </c>
      <c r="H21" s="109"/>
      <c r="J21" s="186" t="s">
        <v>88</v>
      </c>
      <c r="K21" s="65">
        <f>P28</f>
        <v>5174.4</v>
      </c>
      <c r="M21" s="108"/>
      <c r="N21" s="461" t="s">
        <v>1306</v>
      </c>
      <c r="O21" s="462" t="s">
        <v>338</v>
      </c>
      <c r="P21" s="806">
        <f>P16</f>
        <v>11705.8</v>
      </c>
      <c r="Q21" s="109"/>
    </row>
    <row r="22" spans="1:17" ht="12">
      <c r="A22" s="66" t="s">
        <v>816</v>
      </c>
      <c r="B22" s="65">
        <f>G33</f>
        <v>545.01</v>
      </c>
      <c r="D22" s="108"/>
      <c r="E22" s="466"/>
      <c r="F22" s="467"/>
      <c r="G22" s="467"/>
      <c r="H22" s="109"/>
      <c r="J22" s="186" t="s">
        <v>89</v>
      </c>
      <c r="K22" s="65">
        <f>P29</f>
        <v>5451.6</v>
      </c>
      <c r="M22" s="108"/>
      <c r="N22" s="461" t="s">
        <v>1307</v>
      </c>
      <c r="O22" s="462" t="s">
        <v>339</v>
      </c>
      <c r="P22" s="806">
        <f>P17</f>
        <v>12034</v>
      </c>
      <c r="Q22" s="109"/>
    </row>
    <row r="23" spans="1:17" ht="12">
      <c r="A23" s="66" t="s">
        <v>817</v>
      </c>
      <c r="B23" s="65">
        <f>G35</f>
        <v>518.68</v>
      </c>
      <c r="D23" s="108"/>
      <c r="E23" s="461" t="s">
        <v>198</v>
      </c>
      <c r="F23" s="462" t="s">
        <v>324</v>
      </c>
      <c r="G23" s="807">
        <f>VLOOKUP("TV GERAL 09 40H",RHE,10,FALSE)</f>
        <v>518.68</v>
      </c>
      <c r="H23" s="109"/>
      <c r="J23" s="186" t="s">
        <v>90</v>
      </c>
      <c r="K23" s="65">
        <f>P30</f>
        <v>5728.8</v>
      </c>
      <c r="M23" s="108"/>
      <c r="N23" s="194"/>
      <c r="O23" s="193"/>
      <c r="P23" s="192" t="s">
        <v>1079</v>
      </c>
      <c r="Q23" s="109"/>
    </row>
    <row r="24" spans="1:17" ht="12">
      <c r="A24" s="66" t="s">
        <v>818</v>
      </c>
      <c r="B24" s="65">
        <f>G37</f>
        <v>518.68</v>
      </c>
      <c r="D24" s="108"/>
      <c r="E24" s="466"/>
      <c r="F24" s="467"/>
      <c r="G24" s="467"/>
      <c r="H24" s="109"/>
      <c r="J24" s="186" t="s">
        <v>91</v>
      </c>
      <c r="K24" s="65">
        <f>TETO</f>
        <v>24117.62</v>
      </c>
      <c r="M24" s="108"/>
      <c r="N24" s="461" t="s">
        <v>1308</v>
      </c>
      <c r="O24" s="462" t="s">
        <v>340</v>
      </c>
      <c r="P24" s="806">
        <f>P37</f>
        <v>12362.2</v>
      </c>
      <c r="Q24" s="109"/>
    </row>
    <row r="25" spans="1:17" ht="12">
      <c r="A25" s="66" t="s">
        <v>819</v>
      </c>
      <c r="B25" s="65">
        <f>G39</f>
        <v>4620</v>
      </c>
      <c r="D25" s="108"/>
      <c r="E25" s="461" t="s">
        <v>1264</v>
      </c>
      <c r="F25" s="462" t="s">
        <v>371</v>
      </c>
      <c r="G25" s="806">
        <f>TTE_A</f>
        <v>4620</v>
      </c>
      <c r="H25" s="109"/>
      <c r="J25" s="186" t="s">
        <v>65</v>
      </c>
      <c r="K25" s="65">
        <v>120.02</v>
      </c>
      <c r="M25" s="108"/>
      <c r="N25" s="194"/>
      <c r="O25" s="193"/>
      <c r="P25" s="192" t="s">
        <v>1079</v>
      </c>
      <c r="Q25" s="109"/>
    </row>
    <row r="26" spans="1:17" ht="12">
      <c r="A26" s="66" t="s">
        <v>820</v>
      </c>
      <c r="B26" s="65">
        <f>G41</f>
        <v>5451.6</v>
      </c>
      <c r="D26" s="108"/>
      <c r="E26" s="466"/>
      <c r="F26" s="467"/>
      <c r="G26" s="879"/>
      <c r="H26" s="109"/>
      <c r="J26" s="186" t="s">
        <v>66</v>
      </c>
      <c r="K26" s="65">
        <f>GPRI</f>
        <v>0</v>
      </c>
      <c r="M26" s="108"/>
      <c r="N26" s="461" t="s">
        <v>1309</v>
      </c>
      <c r="O26" s="462" t="s">
        <v>341</v>
      </c>
      <c r="P26" s="807">
        <f>VLOOKUP("TV FAZENDA 11 40H",RHE,10,FALSE)</f>
        <v>4620</v>
      </c>
      <c r="Q26" s="109"/>
    </row>
    <row r="27" spans="1:17" ht="12">
      <c r="A27" s="66" t="s">
        <v>821</v>
      </c>
      <c r="B27" s="65">
        <f>G43</f>
        <v>1572.8</v>
      </c>
      <c r="D27" s="108"/>
      <c r="E27" s="461" t="s">
        <v>200</v>
      </c>
      <c r="F27" s="462" t="s">
        <v>372</v>
      </c>
      <c r="G27" s="806">
        <f>G25</f>
        <v>4620</v>
      </c>
      <c r="H27" s="109"/>
      <c r="J27" s="186" t="s">
        <v>289</v>
      </c>
      <c r="K27" s="65">
        <f>P10</f>
        <v>930.22</v>
      </c>
      <c r="M27" s="108"/>
      <c r="N27" s="461" t="s">
        <v>1310</v>
      </c>
      <c r="O27" s="462" t="s">
        <v>342</v>
      </c>
      <c r="P27" s="807">
        <f>VLOOKUP("TV FAZENDA 12 40H",RHE,10,FALSE)</f>
        <v>4897.2</v>
      </c>
      <c r="Q27" s="109"/>
    </row>
    <row r="28" spans="1:17" ht="12">
      <c r="A28" s="66" t="s">
        <v>822</v>
      </c>
      <c r="B28" s="65">
        <f>G45</f>
        <v>1179.6</v>
      </c>
      <c r="D28" s="108"/>
      <c r="E28" s="466"/>
      <c r="F28" s="467"/>
      <c r="G28" s="879"/>
      <c r="H28" s="109"/>
      <c r="J28" s="186" t="s">
        <v>60</v>
      </c>
      <c r="K28" s="65">
        <f>P11</f>
        <v>1006.59</v>
      </c>
      <c r="M28" s="108"/>
      <c r="N28" s="461" t="s">
        <v>1311</v>
      </c>
      <c r="O28" s="462" t="s">
        <v>343</v>
      </c>
      <c r="P28" s="807">
        <f>VLOOKUP("TV FAZENDA 13 40H",RHE,10,FALSE)</f>
        <v>5174.4</v>
      </c>
      <c r="Q28" s="109"/>
    </row>
    <row r="29" spans="1:17" ht="12">
      <c r="A29" s="66" t="s">
        <v>823</v>
      </c>
      <c r="B29" s="65">
        <f>G47</f>
        <v>786.4</v>
      </c>
      <c r="D29" s="108"/>
      <c r="E29" s="461" t="s">
        <v>201</v>
      </c>
      <c r="F29" s="462" t="s">
        <v>373</v>
      </c>
      <c r="G29" s="806">
        <f>G25</f>
        <v>4620</v>
      </c>
      <c r="H29" s="109"/>
      <c r="J29" s="186" t="s">
        <v>63</v>
      </c>
      <c r="K29" s="65">
        <f>P12</f>
        <v>1065.68</v>
      </c>
      <c r="M29" s="108"/>
      <c r="N29" s="461" t="s">
        <v>1312</v>
      </c>
      <c r="O29" s="462" t="s">
        <v>344</v>
      </c>
      <c r="P29" s="807">
        <f>VLOOKUP("TV FAZENDA 14 40H",RHE,10,FALSE)</f>
        <v>5451.6</v>
      </c>
      <c r="Q29" s="109"/>
    </row>
    <row r="30" spans="1:17" ht="12">
      <c r="A30" s="66" t="s">
        <v>824</v>
      </c>
      <c r="B30" s="65">
        <f>G49</f>
        <v>393.2</v>
      </c>
      <c r="D30" s="108"/>
      <c r="E30" s="466"/>
      <c r="F30" s="467"/>
      <c r="G30" s="879"/>
      <c r="H30" s="109"/>
      <c r="J30" s="186" t="s">
        <v>811</v>
      </c>
      <c r="K30" s="65">
        <f>GPRIPPA</f>
        <v>0</v>
      </c>
      <c r="M30" s="108"/>
      <c r="N30" s="461" t="s">
        <v>1313</v>
      </c>
      <c r="O30" s="462" t="s">
        <v>345</v>
      </c>
      <c r="P30" s="807">
        <f>VLOOKUP("TV FAZENDA 15 40H",RHE,10,FALSE)</f>
        <v>5728.8</v>
      </c>
      <c r="Q30" s="109"/>
    </row>
    <row r="31" spans="1:17" ht="12">
      <c r="A31" s="66" t="s">
        <v>825</v>
      </c>
      <c r="B31" s="65">
        <f>G51</f>
        <v>5451.6</v>
      </c>
      <c r="D31" s="108"/>
      <c r="E31" s="461" t="s">
        <v>202</v>
      </c>
      <c r="F31" s="462" t="s">
        <v>374</v>
      </c>
      <c r="G31" s="806">
        <f>G25</f>
        <v>4620</v>
      </c>
      <c r="H31" s="109"/>
      <c r="J31" s="186" t="s">
        <v>575</v>
      </c>
      <c r="K31" s="140">
        <f>P37</f>
        <v>12362.2</v>
      </c>
      <c r="M31" s="108"/>
      <c r="Q31" s="109"/>
    </row>
    <row r="32" spans="1:17" ht="12.75" thickBot="1">
      <c r="A32" s="66" t="s">
        <v>826</v>
      </c>
      <c r="B32" s="65">
        <f>G53</f>
        <v>11377.6</v>
      </c>
      <c r="D32" s="108"/>
      <c r="E32" s="466"/>
      <c r="F32" s="467"/>
      <c r="G32" s="467"/>
      <c r="H32" s="109"/>
      <c r="J32" s="187" t="s">
        <v>576</v>
      </c>
      <c r="K32" s="322">
        <f>P41</f>
        <v>12362.2</v>
      </c>
      <c r="M32" s="108"/>
      <c r="N32" s="461" t="s">
        <v>1314</v>
      </c>
      <c r="O32" s="462" t="s">
        <v>563</v>
      </c>
      <c r="P32" s="806">
        <f>P14</f>
        <v>10940</v>
      </c>
      <c r="Q32" s="109"/>
    </row>
    <row r="33" spans="1:17" ht="12.75" thickBot="1">
      <c r="A33" s="67" t="s">
        <v>827</v>
      </c>
      <c r="B33" s="83">
        <f>G55</f>
        <v>11377.6</v>
      </c>
      <c r="D33" s="108"/>
      <c r="E33" s="461" t="s">
        <v>203</v>
      </c>
      <c r="F33" s="462" t="s">
        <v>325</v>
      </c>
      <c r="G33" s="806">
        <f>G21</f>
        <v>545.01</v>
      </c>
      <c r="H33" s="109"/>
      <c r="J33" s="334"/>
      <c r="K33" s="87"/>
      <c r="M33" s="108"/>
      <c r="N33" s="461" t="s">
        <v>1315</v>
      </c>
      <c r="O33" s="462" t="s">
        <v>564</v>
      </c>
      <c r="P33" s="806">
        <f>P15</f>
        <v>11377.6</v>
      </c>
      <c r="Q33" s="109"/>
    </row>
    <row r="34" spans="4:17" ht="12">
      <c r="D34" s="108"/>
      <c r="E34" s="466"/>
      <c r="F34" s="467"/>
      <c r="G34" s="879"/>
      <c r="H34" s="109"/>
      <c r="M34" s="108"/>
      <c r="N34" s="461" t="s">
        <v>1316</v>
      </c>
      <c r="O34" s="462" t="s">
        <v>565</v>
      </c>
      <c r="P34" s="806">
        <f>P16</f>
        <v>11705.8</v>
      </c>
      <c r="Q34" s="109"/>
    </row>
    <row r="35" spans="1:17" ht="12">
      <c r="A35" s="86"/>
      <c r="B35" s="87"/>
      <c r="D35" s="108"/>
      <c r="E35" s="461" t="s">
        <v>204</v>
      </c>
      <c r="F35" s="462" t="s">
        <v>323</v>
      </c>
      <c r="G35" s="806">
        <f>G23</f>
        <v>518.68</v>
      </c>
      <c r="H35" s="109"/>
      <c r="M35" s="108"/>
      <c r="N35" s="461" t="s">
        <v>1317</v>
      </c>
      <c r="O35" s="462" t="s">
        <v>566</v>
      </c>
      <c r="P35" s="806">
        <f>P17</f>
        <v>12034</v>
      </c>
      <c r="Q35" s="109"/>
    </row>
    <row r="36" spans="1:17" ht="12">
      <c r="A36" s="86"/>
      <c r="B36" s="87"/>
      <c r="D36" s="108"/>
      <c r="E36" s="466"/>
      <c r="F36" s="467"/>
      <c r="G36" s="879"/>
      <c r="H36" s="109"/>
      <c r="M36" s="108"/>
      <c r="N36" s="194"/>
      <c r="O36" s="193"/>
      <c r="P36" s="192" t="s">
        <v>1079</v>
      </c>
      <c r="Q36" s="109"/>
    </row>
    <row r="37" spans="1:17" ht="12">
      <c r="A37" s="86"/>
      <c r="B37" s="87"/>
      <c r="D37" s="108"/>
      <c r="E37" s="461" t="s">
        <v>205</v>
      </c>
      <c r="F37" s="462" t="s">
        <v>321</v>
      </c>
      <c r="G37" s="806">
        <f>G23</f>
        <v>518.68</v>
      </c>
      <c r="H37" s="109"/>
      <c r="M37" s="108"/>
      <c r="N37" s="577">
        <v>36</v>
      </c>
      <c r="O37" s="462" t="s">
        <v>569</v>
      </c>
      <c r="P37" s="806">
        <f>VLOOKUP("TV FAZENDA 10 40H",RHE,10,FALSE)</f>
        <v>12362.2</v>
      </c>
      <c r="Q37" s="109"/>
    </row>
    <row r="38" spans="1:17" ht="12">
      <c r="A38" s="86"/>
      <c r="B38" s="87"/>
      <c r="D38" s="108"/>
      <c r="E38" s="466"/>
      <c r="F38" s="467"/>
      <c r="G38" s="879"/>
      <c r="H38" s="109"/>
      <c r="M38" s="108"/>
      <c r="N38" s="578"/>
      <c r="O38" s="193"/>
      <c r="P38" s="881" t="s">
        <v>1079</v>
      </c>
      <c r="Q38" s="109"/>
    </row>
    <row r="39" spans="1:17" ht="12">
      <c r="A39" s="86"/>
      <c r="B39" s="87"/>
      <c r="D39" s="108"/>
      <c r="E39" s="461" t="s">
        <v>206</v>
      </c>
      <c r="F39" s="462" t="s">
        <v>375</v>
      </c>
      <c r="G39" s="806">
        <f>G25</f>
        <v>4620</v>
      </c>
      <c r="H39" s="109"/>
      <c r="J39" s="86"/>
      <c r="K39" s="87"/>
      <c r="M39" s="108"/>
      <c r="N39" s="577">
        <v>37</v>
      </c>
      <c r="O39" s="462" t="s">
        <v>570</v>
      </c>
      <c r="P39" s="806">
        <f>P37</f>
        <v>12362.2</v>
      </c>
      <c r="Q39" s="109"/>
    </row>
    <row r="40" spans="1:17" ht="12">
      <c r="A40" s="86"/>
      <c r="B40" s="87"/>
      <c r="D40" s="108"/>
      <c r="E40" s="466"/>
      <c r="F40" s="467"/>
      <c r="G40" s="467"/>
      <c r="H40" s="109"/>
      <c r="J40" s="86"/>
      <c r="K40" s="87"/>
      <c r="M40" s="108"/>
      <c r="N40" s="578"/>
      <c r="O40" s="193"/>
      <c r="P40" s="881" t="s">
        <v>1079</v>
      </c>
      <c r="Q40" s="109"/>
    </row>
    <row r="41" spans="1:17" ht="12">
      <c r="A41" s="86"/>
      <c r="B41" s="87"/>
      <c r="D41" s="108"/>
      <c r="E41" s="461" t="s">
        <v>207</v>
      </c>
      <c r="F41" s="462" t="s">
        <v>376</v>
      </c>
      <c r="G41" s="806">
        <f>TTE_D</f>
        <v>5451.6</v>
      </c>
      <c r="H41" s="109"/>
      <c r="J41" s="86"/>
      <c r="K41" s="87"/>
      <c r="M41" s="108"/>
      <c r="N41" s="579">
        <v>38</v>
      </c>
      <c r="O41" s="465" t="s">
        <v>571</v>
      </c>
      <c r="P41" s="820">
        <f>P37</f>
        <v>12362.2</v>
      </c>
      <c r="Q41" s="109"/>
    </row>
    <row r="42" spans="1:17" ht="12">
      <c r="A42" s="86"/>
      <c r="B42" s="87"/>
      <c r="D42" s="108"/>
      <c r="E42" s="466"/>
      <c r="F42" s="467"/>
      <c r="G42" s="467"/>
      <c r="H42" s="109"/>
      <c r="J42" s="86"/>
      <c r="K42" s="87"/>
      <c r="M42" s="108"/>
      <c r="Q42" s="109"/>
    </row>
    <row r="43" spans="1:17" ht="12">
      <c r="A43" s="86"/>
      <c r="B43" s="87"/>
      <c r="D43" s="108"/>
      <c r="E43" s="461" t="s">
        <v>1342</v>
      </c>
      <c r="F43" s="462" t="s">
        <v>326</v>
      </c>
      <c r="G43" s="807">
        <f>VLOOKUP("TV FAZENDA 04 40H",RHE,10,FALSE)</f>
        <v>1572.8</v>
      </c>
      <c r="H43" s="109"/>
      <c r="J43" s="86"/>
      <c r="K43" s="87"/>
      <c r="M43" s="108"/>
      <c r="N43" s="112"/>
      <c r="O43" s="29"/>
      <c r="P43" s="30"/>
      <c r="Q43" s="109"/>
    </row>
    <row r="44" spans="1:17" ht="12">
      <c r="A44" s="86"/>
      <c r="B44" s="87"/>
      <c r="D44" s="108"/>
      <c r="E44" s="466"/>
      <c r="F44" s="467"/>
      <c r="G44" s="467"/>
      <c r="H44" s="109"/>
      <c r="J44" s="86"/>
      <c r="K44" s="87"/>
      <c r="M44" s="108"/>
      <c r="N44" s="1288" t="s">
        <v>368</v>
      </c>
      <c r="O44" s="1391"/>
      <c r="P44" s="1289"/>
      <c r="Q44" s="109"/>
    </row>
    <row r="45" spans="1:17" ht="12">
      <c r="A45" s="86"/>
      <c r="B45" s="87"/>
      <c r="D45" s="108"/>
      <c r="E45" s="461" t="s">
        <v>1343</v>
      </c>
      <c r="F45" s="462" t="s">
        <v>327</v>
      </c>
      <c r="G45" s="806">
        <f>ROUNDDOWN(G43*0.75,2)</f>
        <v>1179.6</v>
      </c>
      <c r="H45" s="109"/>
      <c r="J45" s="86"/>
      <c r="K45" s="87"/>
      <c r="M45" s="108"/>
      <c r="N45" s="73"/>
      <c r="O45" s="571" t="s">
        <v>431</v>
      </c>
      <c r="P45" s="572"/>
      <c r="Q45" s="109"/>
    </row>
    <row r="46" spans="1:17" ht="12">
      <c r="A46" s="86"/>
      <c r="B46" s="87"/>
      <c r="D46" s="108"/>
      <c r="E46" s="466"/>
      <c r="F46" s="467"/>
      <c r="G46" s="879"/>
      <c r="H46" s="109"/>
      <c r="J46" s="86"/>
      <c r="K46" s="87"/>
      <c r="M46" s="108"/>
      <c r="N46" s="73"/>
      <c r="O46" s="571" t="s">
        <v>369</v>
      </c>
      <c r="P46" s="572"/>
      <c r="Q46" s="109"/>
    </row>
    <row r="47" spans="1:17" ht="12">
      <c r="A47" s="86"/>
      <c r="B47" s="87"/>
      <c r="D47" s="108"/>
      <c r="E47" s="461" t="s">
        <v>1344</v>
      </c>
      <c r="F47" s="462" t="s">
        <v>328</v>
      </c>
      <c r="G47" s="806">
        <f>ROUNDDOWN(G43*0.5,2)</f>
        <v>786.4</v>
      </c>
      <c r="H47" s="109"/>
      <c r="J47" s="86"/>
      <c r="K47" s="87"/>
      <c r="M47" s="108"/>
      <c r="N47" s="73"/>
      <c r="P47" s="71"/>
      <c r="Q47" s="109"/>
    </row>
    <row r="48" spans="1:17" ht="12">
      <c r="A48" s="86"/>
      <c r="B48" s="87"/>
      <c r="D48" s="108"/>
      <c r="E48" s="466"/>
      <c r="F48" s="467"/>
      <c r="G48" s="879"/>
      <c r="H48" s="109"/>
      <c r="J48" s="86"/>
      <c r="K48" s="87"/>
      <c r="M48" s="108"/>
      <c r="N48" s="73"/>
      <c r="O48" s="574" t="s">
        <v>567</v>
      </c>
      <c r="P48" s="570"/>
      <c r="Q48" s="109"/>
    </row>
    <row r="49" spans="1:17" ht="12">
      <c r="A49" s="86"/>
      <c r="B49" s="87"/>
      <c r="D49" s="108"/>
      <c r="E49" s="461" t="s">
        <v>1345</v>
      </c>
      <c r="F49" s="462" t="s">
        <v>329</v>
      </c>
      <c r="G49" s="806">
        <f>ROUNDDOWN(G43*0.25,2)</f>
        <v>393.2</v>
      </c>
      <c r="H49" s="109"/>
      <c r="J49" s="86"/>
      <c r="K49" s="87"/>
      <c r="M49" s="108"/>
      <c r="N49" s="73"/>
      <c r="O49" s="573" t="s">
        <v>419</v>
      </c>
      <c r="P49" s="109">
        <f>ROUNDDOWN(TTE_E*0.1082,2)</f>
        <v>619.85</v>
      </c>
      <c r="Q49" s="109"/>
    </row>
    <row r="50" spans="1:17" ht="12">
      <c r="A50" s="86"/>
      <c r="B50" s="87"/>
      <c r="D50" s="108"/>
      <c r="E50" s="466"/>
      <c r="F50" s="467"/>
      <c r="G50" s="467"/>
      <c r="H50" s="109"/>
      <c r="J50" s="86"/>
      <c r="K50" s="87"/>
      <c r="M50" s="108"/>
      <c r="N50" s="576"/>
      <c r="O50" s="575" t="s">
        <v>420</v>
      </c>
      <c r="P50" s="75">
        <f>ROUNDDOWN(TTE_E*0.1892,2)</f>
        <v>1083.88</v>
      </c>
      <c r="Q50" s="109"/>
    </row>
    <row r="51" spans="1:17" ht="12">
      <c r="A51" s="86"/>
      <c r="B51" s="87"/>
      <c r="D51" s="108"/>
      <c r="E51" s="461" t="s">
        <v>1356</v>
      </c>
      <c r="F51" s="462" t="s">
        <v>376</v>
      </c>
      <c r="G51" s="806">
        <f>G41</f>
        <v>5451.6</v>
      </c>
      <c r="H51" s="109"/>
      <c r="J51" s="86"/>
      <c r="K51" s="87"/>
      <c r="M51" s="108"/>
      <c r="Q51" s="109"/>
    </row>
    <row r="52" spans="1:17" ht="12">
      <c r="A52" s="86"/>
      <c r="B52" s="87"/>
      <c r="D52" s="108"/>
      <c r="E52" s="466"/>
      <c r="F52" s="467"/>
      <c r="G52" s="467"/>
      <c r="H52" s="109"/>
      <c r="J52" s="86"/>
      <c r="K52" s="87"/>
      <c r="M52" s="108"/>
      <c r="Q52" s="109"/>
    </row>
    <row r="53" spans="1:17" ht="12">
      <c r="A53" s="86"/>
      <c r="B53" s="87"/>
      <c r="D53" s="108"/>
      <c r="E53" s="461" t="s">
        <v>1357</v>
      </c>
      <c r="F53" s="462" t="s">
        <v>330</v>
      </c>
      <c r="G53" s="806">
        <f>P33</f>
        <v>11377.6</v>
      </c>
      <c r="H53" s="109"/>
      <c r="J53" s="86"/>
      <c r="K53" s="87"/>
      <c r="M53" s="108"/>
      <c r="N53" s="1184" t="s">
        <v>568</v>
      </c>
      <c r="O53" s="1185"/>
      <c r="P53" s="1186"/>
      <c r="Q53" s="109"/>
    </row>
    <row r="54" spans="1:17" ht="12">
      <c r="A54" s="86"/>
      <c r="B54" s="87"/>
      <c r="D54" s="108"/>
      <c r="E54" s="466"/>
      <c r="F54" s="467"/>
      <c r="G54" s="879"/>
      <c r="H54" s="109"/>
      <c r="J54" s="86"/>
      <c r="K54" s="87"/>
      <c r="M54" s="108"/>
      <c r="N54" s="580"/>
      <c r="O54" s="581" t="s">
        <v>572</v>
      </c>
      <c r="P54" s="105"/>
      <c r="Q54" s="109"/>
    </row>
    <row r="55" spans="1:17" ht="24">
      <c r="A55" s="86"/>
      <c r="B55" s="87"/>
      <c r="D55" s="108"/>
      <c r="E55" s="464" t="s">
        <v>1358</v>
      </c>
      <c r="F55" s="465" t="s">
        <v>322</v>
      </c>
      <c r="G55" s="820">
        <f>G53</f>
        <v>11377.6</v>
      </c>
      <c r="H55" s="109"/>
      <c r="J55" s="86"/>
      <c r="K55" s="87"/>
      <c r="M55" s="108"/>
      <c r="N55" s="73"/>
      <c r="O55" s="666" t="s">
        <v>573</v>
      </c>
      <c r="P55" s="667"/>
      <c r="Q55" s="109"/>
    </row>
    <row r="56" spans="1:17" ht="12">
      <c r="A56" s="86"/>
      <c r="B56" s="87"/>
      <c r="D56" s="108"/>
      <c r="H56" s="109"/>
      <c r="J56" s="86"/>
      <c r="K56" s="87"/>
      <c r="M56" s="108"/>
      <c r="N56" s="73"/>
      <c r="O56" s="666"/>
      <c r="P56" s="667"/>
      <c r="Q56" s="109"/>
    </row>
    <row r="57" spans="1:17" ht="12" customHeight="1">
      <c r="A57" s="86"/>
      <c r="B57" s="87"/>
      <c r="D57" s="108"/>
      <c r="E57" s="112"/>
      <c r="F57" s="29"/>
      <c r="G57" s="29"/>
      <c r="H57" s="109"/>
      <c r="J57" s="86"/>
      <c r="K57" s="87"/>
      <c r="M57" s="108"/>
      <c r="N57" s="576"/>
      <c r="O57" s="582" t="s">
        <v>574</v>
      </c>
      <c r="P57" s="583"/>
      <c r="Q57" s="109"/>
    </row>
    <row r="58" spans="1:17" ht="12" customHeight="1">
      <c r="A58" s="86"/>
      <c r="B58" s="87"/>
      <c r="D58" s="108"/>
      <c r="E58" s="1479" t="s">
        <v>383</v>
      </c>
      <c r="F58" s="1480"/>
      <c r="G58" s="1481"/>
      <c r="H58" s="330"/>
      <c r="I58" s="329"/>
      <c r="J58" s="86"/>
      <c r="K58" s="87"/>
      <c r="M58" s="108"/>
      <c r="Q58" s="109"/>
    </row>
    <row r="59" spans="1:17" ht="12" customHeight="1">
      <c r="A59" s="86"/>
      <c r="B59" s="87"/>
      <c r="D59" s="108"/>
      <c r="E59" s="332"/>
      <c r="F59" s="339" t="s">
        <v>384</v>
      </c>
      <c r="G59" s="333"/>
      <c r="H59" s="109"/>
      <c r="J59" s="86"/>
      <c r="K59" s="87"/>
      <c r="M59" s="108"/>
      <c r="N59" s="1184" t="s">
        <v>529</v>
      </c>
      <c r="O59" s="1185"/>
      <c r="P59" s="1186"/>
      <c r="Q59" s="109"/>
    </row>
    <row r="60" spans="1:17" ht="12">
      <c r="A60" s="86"/>
      <c r="B60" s="87"/>
      <c r="D60" s="108"/>
      <c r="E60" s="337"/>
      <c r="F60" s="340" t="s">
        <v>387</v>
      </c>
      <c r="G60" s="338"/>
      <c r="H60" s="109"/>
      <c r="J60" s="86"/>
      <c r="K60" s="87"/>
      <c r="M60" s="108"/>
      <c r="N60" s="580"/>
      <c r="O60" s="104" t="s">
        <v>530</v>
      </c>
      <c r="P60" s="105"/>
      <c r="Q60" s="109"/>
    </row>
    <row r="61" spans="1:17" ht="12.75" customHeight="1">
      <c r="A61" s="86"/>
      <c r="B61" s="87"/>
      <c r="D61" s="114"/>
      <c r="E61" s="135"/>
      <c r="F61" s="115"/>
      <c r="G61" s="115"/>
      <c r="H61" s="116"/>
      <c r="J61" s="86"/>
      <c r="K61" s="87"/>
      <c r="M61" s="70"/>
      <c r="N61" s="73"/>
      <c r="O61" s="574" t="s">
        <v>567</v>
      </c>
      <c r="P61" s="570"/>
      <c r="Q61" s="71"/>
    </row>
    <row r="62" spans="1:17" ht="12.75" customHeight="1">
      <c r="A62" s="86"/>
      <c r="B62" s="138"/>
      <c r="J62" s="86"/>
      <c r="K62" s="138"/>
      <c r="M62" s="70"/>
      <c r="N62" s="73"/>
      <c r="O62" s="573" t="s">
        <v>531</v>
      </c>
      <c r="P62" s="109">
        <v>0</v>
      </c>
      <c r="Q62" s="71"/>
    </row>
    <row r="63" spans="1:17" ht="12">
      <c r="A63" s="86"/>
      <c r="B63" s="138"/>
      <c r="J63" s="86"/>
      <c r="K63" s="138"/>
      <c r="M63" s="114"/>
      <c r="N63" s="576"/>
      <c r="O63" s="575" t="s">
        <v>532</v>
      </c>
      <c r="P63" s="75">
        <v>0</v>
      </c>
      <c r="Q63" s="116"/>
    </row>
    <row r="64" spans="1:11" ht="12">
      <c r="A64" s="86"/>
      <c r="B64" s="138"/>
      <c r="J64" s="86"/>
      <c r="K64" s="138"/>
    </row>
    <row r="65" spans="1:16" ht="12">
      <c r="A65" s="86"/>
      <c r="B65" s="138"/>
      <c r="J65" s="86"/>
      <c r="K65" s="138"/>
      <c r="O65" s="31" t="s">
        <v>379</v>
      </c>
      <c r="P65" s="31">
        <v>0</v>
      </c>
    </row>
    <row r="66" spans="1:15" ht="12">
      <c r="A66" s="86"/>
      <c r="B66" s="138"/>
      <c r="J66" s="86"/>
      <c r="K66" s="138"/>
      <c r="O66" s="31" t="s">
        <v>381</v>
      </c>
    </row>
    <row r="67" spans="1:15" ht="12">
      <c r="A67" s="86"/>
      <c r="B67" s="138"/>
      <c r="J67" s="86"/>
      <c r="K67" s="138"/>
      <c r="O67" s="31" t="s">
        <v>380</v>
      </c>
    </row>
    <row r="68" spans="1:11" ht="12">
      <c r="A68" s="86"/>
      <c r="B68" s="138"/>
      <c r="J68" s="86"/>
      <c r="K68" s="138"/>
    </row>
    <row r="69" spans="1:16" ht="12">
      <c r="A69" s="86"/>
      <c r="B69" s="138"/>
      <c r="J69" s="86"/>
      <c r="K69" s="138"/>
      <c r="O69" s="31" t="s">
        <v>377</v>
      </c>
      <c r="P69" s="188">
        <f>TTE_A-REDUTOR_AD</f>
        <v>4620</v>
      </c>
    </row>
    <row r="70" spans="1:16" ht="12">
      <c r="A70" s="86"/>
      <c r="B70" s="138"/>
      <c r="J70" s="86"/>
      <c r="K70" s="138"/>
      <c r="O70" s="31" t="s">
        <v>378</v>
      </c>
      <c r="P70" s="188">
        <f>TTE_D-REDUTOR_AD</f>
        <v>5451.6</v>
      </c>
    </row>
    <row r="71" spans="1:16" ht="12">
      <c r="A71" s="86"/>
      <c r="B71" s="138"/>
      <c r="J71" s="86"/>
      <c r="K71" s="138"/>
      <c r="O71" s="31" t="s">
        <v>382</v>
      </c>
      <c r="P71" s="31">
        <f>P33</f>
        <v>11377.6</v>
      </c>
    </row>
    <row r="72" spans="1:11" ht="12">
      <c r="A72" s="86"/>
      <c r="B72" s="138"/>
      <c r="J72" s="86"/>
      <c r="K72" s="138"/>
    </row>
    <row r="73" spans="1:11" ht="12">
      <c r="A73" s="86"/>
      <c r="B73" s="138"/>
      <c r="J73" s="86"/>
      <c r="K73" s="138"/>
    </row>
    <row r="74" spans="1:11" ht="12">
      <c r="A74" s="86"/>
      <c r="B74" s="138"/>
      <c r="J74" s="86"/>
      <c r="K74" s="138"/>
    </row>
    <row r="75" spans="1:11" ht="12">
      <c r="A75" s="86"/>
      <c r="B75" s="138"/>
      <c r="J75" s="86"/>
      <c r="K75" s="138"/>
    </row>
    <row r="76" spans="1:11" ht="12">
      <c r="A76" s="86"/>
      <c r="B76" s="138"/>
      <c r="J76" s="86"/>
      <c r="K76" s="138"/>
    </row>
    <row r="77" spans="1:11" ht="12">
      <c r="A77" s="86"/>
      <c r="B77" s="138"/>
      <c r="J77" s="86"/>
      <c r="K77" s="138"/>
    </row>
    <row r="78" spans="1:11" ht="12">
      <c r="A78" s="86"/>
      <c r="B78" s="138"/>
      <c r="J78" s="86"/>
      <c r="K78" s="138"/>
    </row>
    <row r="79" spans="1:11" ht="12">
      <c r="A79" s="86"/>
      <c r="B79" s="138"/>
      <c r="J79" s="86"/>
      <c r="K79" s="138"/>
    </row>
    <row r="80" spans="1:11" ht="12">
      <c r="A80" s="86"/>
      <c r="B80" s="138"/>
      <c r="J80" s="86"/>
      <c r="K80" s="138"/>
    </row>
    <row r="81" spans="1:11" ht="12">
      <c r="A81" s="86"/>
      <c r="B81" s="138"/>
      <c r="J81" s="86"/>
      <c r="K81" s="138"/>
    </row>
    <row r="82" spans="1:11" ht="12">
      <c r="A82" s="86"/>
      <c r="B82" s="138"/>
      <c r="J82" s="86"/>
      <c r="K82" s="138"/>
    </row>
    <row r="83" spans="1:11" ht="12">
      <c r="A83" s="86"/>
      <c r="B83" s="138"/>
      <c r="J83" s="86"/>
      <c r="K83" s="138"/>
    </row>
    <row r="84" spans="1:11" ht="12">
      <c r="A84" s="86"/>
      <c r="B84" s="138"/>
      <c r="J84" s="86"/>
      <c r="K84" s="138"/>
    </row>
    <row r="85" spans="1:11" ht="12">
      <c r="A85" s="86"/>
      <c r="B85" s="138"/>
      <c r="J85" s="86"/>
      <c r="K85" s="138"/>
    </row>
    <row r="86" spans="1:11" ht="12">
      <c r="A86" s="86"/>
      <c r="B86" s="138"/>
      <c r="J86" s="86"/>
      <c r="K86" s="138"/>
    </row>
    <row r="87" spans="1:11" ht="12">
      <c r="A87" s="86"/>
      <c r="B87" s="138"/>
      <c r="J87" s="86"/>
      <c r="K87" s="138"/>
    </row>
    <row r="88" spans="1:11" ht="12">
      <c r="A88" s="86"/>
      <c r="B88" s="138"/>
      <c r="J88" s="86"/>
      <c r="K88" s="138"/>
    </row>
    <row r="89" spans="1:11" ht="12">
      <c r="A89" s="86"/>
      <c r="B89" s="138"/>
      <c r="J89" s="86"/>
      <c r="K89" s="138"/>
    </row>
    <row r="90" spans="1:11" ht="12">
      <c r="A90" s="86"/>
      <c r="B90" s="87"/>
      <c r="J90" s="86"/>
      <c r="K90" s="87"/>
    </row>
    <row r="91" spans="1:11" ht="12">
      <c r="A91" s="86"/>
      <c r="B91" s="87"/>
      <c r="J91" s="86"/>
      <c r="K91" s="87"/>
    </row>
    <row r="92" spans="1:11" ht="12">
      <c r="A92" s="86"/>
      <c r="B92" s="87"/>
      <c r="J92" s="86"/>
      <c r="K92" s="87"/>
    </row>
    <row r="93" spans="1:11" ht="12">
      <c r="A93" s="86"/>
      <c r="B93" s="87"/>
      <c r="J93" s="86"/>
      <c r="K93" s="87"/>
    </row>
    <row r="94" spans="1:11" ht="12">
      <c r="A94" s="86"/>
      <c r="B94" s="87"/>
      <c r="J94" s="86"/>
      <c r="K94" s="87"/>
    </row>
    <row r="95" spans="1:11" ht="12">
      <c r="A95" s="86"/>
      <c r="B95" s="87"/>
      <c r="J95" s="86"/>
      <c r="K95" s="87"/>
    </row>
    <row r="96" spans="1:11" ht="12">
      <c r="A96" s="86"/>
      <c r="B96" s="87"/>
      <c r="J96" s="86"/>
      <c r="K96" s="87"/>
    </row>
    <row r="97" spans="1:11" ht="12">
      <c r="A97" s="86"/>
      <c r="B97" s="87"/>
      <c r="J97" s="86"/>
      <c r="K97" s="87"/>
    </row>
    <row r="98" spans="1:11" ht="12">
      <c r="A98" s="86"/>
      <c r="B98" s="87"/>
      <c r="J98" s="86"/>
      <c r="K98" s="87"/>
    </row>
    <row r="99" spans="1:11" ht="12">
      <c r="A99" s="86"/>
      <c r="B99" s="87"/>
      <c r="J99" s="86"/>
      <c r="K99" s="87"/>
    </row>
    <row r="100" spans="1:11" ht="12">
      <c r="A100" s="86"/>
      <c r="B100" s="87"/>
      <c r="J100" s="86"/>
      <c r="K100" s="87"/>
    </row>
    <row r="101" spans="1:11" ht="12">
      <c r="A101" s="86"/>
      <c r="B101" s="87"/>
      <c r="J101" s="86"/>
      <c r="K101" s="87"/>
    </row>
    <row r="102" spans="1:11" ht="12">
      <c r="A102" s="86"/>
      <c r="B102" s="87"/>
      <c r="J102" s="86"/>
      <c r="K102" s="87"/>
    </row>
    <row r="107" spans="1:11" ht="12">
      <c r="A107" s="86"/>
      <c r="B107" s="87"/>
      <c r="J107" s="86"/>
      <c r="K107" s="87"/>
    </row>
    <row r="108" spans="1:11" ht="12">
      <c r="A108" s="81"/>
      <c r="B108" s="81"/>
      <c r="J108" s="81"/>
      <c r="K108" s="81"/>
    </row>
    <row r="109" spans="1:11" ht="12">
      <c r="A109" s="81"/>
      <c r="B109" s="81"/>
      <c r="J109" s="81"/>
      <c r="K109" s="81"/>
    </row>
    <row r="110" spans="1:11" ht="12">
      <c r="A110" s="81"/>
      <c r="B110" s="81"/>
      <c r="J110" s="81"/>
      <c r="K110" s="81"/>
    </row>
    <row r="111" spans="1:11" ht="12">
      <c r="A111" s="81"/>
      <c r="B111" s="81"/>
      <c r="J111" s="81"/>
      <c r="K111" s="81"/>
    </row>
    <row r="112" spans="1:11" ht="12">
      <c r="A112" s="81"/>
      <c r="B112" s="81"/>
      <c r="J112" s="81"/>
      <c r="K112" s="81"/>
    </row>
    <row r="113" spans="1:11" ht="12">
      <c r="A113" s="81"/>
      <c r="B113" s="81"/>
      <c r="J113" s="81"/>
      <c r="K113" s="81"/>
    </row>
    <row r="114" spans="1:11" ht="12">
      <c r="A114" s="81"/>
      <c r="B114" s="81"/>
      <c r="J114" s="81"/>
      <c r="K114" s="81"/>
    </row>
    <row r="115" spans="1:11" ht="12">
      <c r="A115" s="81"/>
      <c r="B115" s="81"/>
      <c r="J115" s="81"/>
      <c r="K115" s="81"/>
    </row>
    <row r="116" spans="1:11" ht="12">
      <c r="A116" s="81"/>
      <c r="B116" s="81"/>
      <c r="J116" s="81"/>
      <c r="K116" s="81"/>
    </row>
    <row r="117" spans="1:11" ht="12">
      <c r="A117" s="81"/>
      <c r="B117" s="81"/>
      <c r="J117" s="81"/>
      <c r="K117" s="81"/>
    </row>
    <row r="118" spans="1:11" ht="12">
      <c r="A118" s="81"/>
      <c r="B118" s="81"/>
      <c r="J118" s="81"/>
      <c r="K118" s="81"/>
    </row>
    <row r="119" spans="1:11" ht="12">
      <c r="A119" s="81"/>
      <c r="B119" s="81"/>
      <c r="J119" s="81"/>
      <c r="K119" s="81"/>
    </row>
    <row r="120" spans="1:11" ht="12">
      <c r="A120" s="81"/>
      <c r="B120" s="81"/>
      <c r="J120" s="81"/>
      <c r="K120" s="81"/>
    </row>
    <row r="121" spans="1:11" ht="12">
      <c r="A121" s="81"/>
      <c r="B121" s="81"/>
      <c r="J121" s="81"/>
      <c r="K121" s="81"/>
    </row>
    <row r="122" spans="1:11" ht="12">
      <c r="A122" s="81"/>
      <c r="B122" s="81"/>
      <c r="J122" s="81"/>
      <c r="K122" s="81"/>
    </row>
    <row r="123" spans="1:11" ht="12">
      <c r="A123" s="81"/>
      <c r="B123" s="81"/>
      <c r="J123" s="81"/>
      <c r="K123" s="81"/>
    </row>
    <row r="124" spans="1:11" ht="12">
      <c r="A124" s="81"/>
      <c r="B124" s="81"/>
      <c r="J124" s="81"/>
      <c r="K124" s="81"/>
    </row>
    <row r="125" spans="1:11" ht="12">
      <c r="A125" s="81"/>
      <c r="B125" s="81"/>
      <c r="J125" s="81"/>
      <c r="K125" s="81"/>
    </row>
    <row r="126" spans="1:11" ht="12">
      <c r="A126" s="81"/>
      <c r="B126" s="81"/>
      <c r="J126" s="81"/>
      <c r="K126" s="81"/>
    </row>
    <row r="127" spans="1:11" ht="12">
      <c r="A127" s="81"/>
      <c r="B127" s="81"/>
      <c r="J127" s="81"/>
      <c r="K127" s="81"/>
    </row>
    <row r="128" spans="1:11" ht="12">
      <c r="A128" s="81"/>
      <c r="B128" s="81"/>
      <c r="J128" s="81"/>
      <c r="K128" s="81"/>
    </row>
    <row r="129" spans="1:11" ht="12">
      <c r="A129" s="81"/>
      <c r="B129" s="81"/>
      <c r="J129" s="81"/>
      <c r="K129" s="81"/>
    </row>
  </sheetData>
  <sheetProtection/>
  <mergeCells count="17">
    <mergeCell ref="D3:E3"/>
    <mergeCell ref="D4:E4"/>
    <mergeCell ref="P3:Q3"/>
    <mergeCell ref="M3:N3"/>
    <mergeCell ref="G3:H3"/>
    <mergeCell ref="G4:H4"/>
    <mergeCell ref="P4:Q4"/>
    <mergeCell ref="E8:E9"/>
    <mergeCell ref="N7:N8"/>
    <mergeCell ref="E58:G58"/>
    <mergeCell ref="N53:P53"/>
    <mergeCell ref="N44:P44"/>
    <mergeCell ref="N59:P59"/>
    <mergeCell ref="G8:G9"/>
    <mergeCell ref="F8:F9"/>
    <mergeCell ref="O7:O8"/>
    <mergeCell ref="P7:P8"/>
  </mergeCells>
  <printOptions horizontalCentered="1" verticalCentered="1"/>
  <pageMargins left="0.6692913385826772" right="0.3937007874015748" top="0.5118110236220472" bottom="0.35433070866141736" header="0.31496062992125984" footer="0.31496062992125984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36"/>
  <sheetViews>
    <sheetView zoomScalePageLayoutView="0" workbookViewId="0" topLeftCell="D1">
      <selection activeCell="B8" sqref="B8:C126"/>
    </sheetView>
  </sheetViews>
  <sheetFormatPr defaultColWidth="9.140625" defaultRowHeight="12.75"/>
  <cols>
    <col min="1" max="1" width="5.140625" style="1164" hidden="1" customWidth="1"/>
    <col min="2" max="2" width="14.8515625" style="1098" hidden="1" customWidth="1"/>
    <col min="3" max="3" width="11.421875" style="1098" hidden="1" customWidth="1"/>
    <col min="4" max="4" width="5.00390625" style="1098" customWidth="1"/>
    <col min="5" max="5" width="3.7109375" style="1116" customWidth="1"/>
    <col min="6" max="6" width="5.7109375" style="1114" customWidth="1"/>
    <col min="7" max="7" width="14.7109375" style="1165" customWidth="1"/>
    <col min="8" max="8" width="5.7109375" style="1114" customWidth="1"/>
    <col min="9" max="9" width="5.7109375" style="1115" customWidth="1"/>
    <col min="10" max="10" width="9.8515625" style="1116" customWidth="1"/>
    <col min="11" max="11" width="9.140625" style="1166" customWidth="1"/>
    <col min="12" max="12" width="7.7109375" style="1114" customWidth="1"/>
    <col min="13" max="13" width="6.7109375" style="1114" customWidth="1"/>
    <col min="14" max="14" width="15.8515625" style="1116" customWidth="1"/>
    <col min="15" max="15" width="12.421875" style="1115" customWidth="1"/>
    <col min="16" max="16" width="9.7109375" style="1167" customWidth="1"/>
    <col min="17" max="17" width="9.8515625" style="1116" customWidth="1"/>
    <col min="18" max="18" width="3.28125" style="1116" customWidth="1"/>
    <col min="19" max="16384" width="9.140625" style="1116" customWidth="1"/>
  </cols>
  <sheetData>
    <row r="1" spans="1:21" s="1117" customFormat="1" ht="14.25" customHeight="1">
      <c r="A1" s="671"/>
      <c r="B1" s="672"/>
      <c r="C1" s="672"/>
      <c r="D1" s="672"/>
      <c r="E1" s="670"/>
      <c r="F1" s="673"/>
      <c r="G1" s="674"/>
      <c r="H1" s="673"/>
      <c r="I1" s="675"/>
      <c r="J1" s="670"/>
      <c r="K1" s="676"/>
      <c r="L1" s="673"/>
      <c r="M1" s="673"/>
      <c r="N1" s="670"/>
      <c r="O1" s="675"/>
      <c r="P1" s="677"/>
      <c r="Q1" s="670"/>
      <c r="R1" s="670"/>
      <c r="S1" s="670"/>
      <c r="T1" s="670"/>
      <c r="U1" s="670"/>
    </row>
    <row r="2" spans="1:22" ht="15">
      <c r="A2" s="671"/>
      <c r="B2" s="672"/>
      <c r="C2" s="672"/>
      <c r="D2" s="672"/>
      <c r="E2" s="679"/>
      <c r="F2" s="680"/>
      <c r="G2" s="681"/>
      <c r="H2" s="680"/>
      <c r="I2" s="682"/>
      <c r="J2" s="683"/>
      <c r="K2" s="684"/>
      <c r="L2" s="680"/>
      <c r="M2" s="680"/>
      <c r="N2" s="683"/>
      <c r="O2" s="682"/>
      <c r="P2" s="685"/>
      <c r="Q2" s="685"/>
      <c r="R2" s="686"/>
      <c r="S2" s="678"/>
      <c r="T2" s="678"/>
      <c r="U2" s="687"/>
      <c r="V2" s="687"/>
    </row>
    <row r="3" spans="1:22" ht="15">
      <c r="A3" s="671"/>
      <c r="B3" s="672"/>
      <c r="C3" s="672"/>
      <c r="D3" s="672"/>
      <c r="E3" s="1543" t="s">
        <v>274</v>
      </c>
      <c r="F3" s="1495"/>
      <c r="G3" s="1498" t="s">
        <v>193</v>
      </c>
      <c r="H3" s="1498"/>
      <c r="I3" s="1498"/>
      <c r="J3" s="1498"/>
      <c r="K3" s="1498"/>
      <c r="L3" s="1498"/>
      <c r="M3" s="1498"/>
      <c r="N3" s="1498"/>
      <c r="O3" s="1498"/>
      <c r="P3" s="1495" t="s">
        <v>1080</v>
      </c>
      <c r="Q3" s="1495"/>
      <c r="R3" s="1153"/>
      <c r="S3" s="678"/>
      <c r="T3" s="678"/>
      <c r="U3" s="678"/>
      <c r="V3" s="678"/>
    </row>
    <row r="4" spans="1:22" ht="12.75">
      <c r="A4" s="671"/>
      <c r="B4" s="672"/>
      <c r="C4" s="672"/>
      <c r="D4" s="672"/>
      <c r="E4" s="1544"/>
      <c r="F4" s="1545"/>
      <c r="G4" s="1495" t="s">
        <v>194</v>
      </c>
      <c r="H4" s="1495"/>
      <c r="I4" s="1495"/>
      <c r="J4" s="1495"/>
      <c r="K4" s="1495"/>
      <c r="L4" s="1495"/>
      <c r="M4" s="1495"/>
      <c r="N4" s="1495"/>
      <c r="O4" s="1495"/>
      <c r="P4" s="1496">
        <f>MAX(VLOOKUP("TV IGP 01 40H",RHE,5,FALSE),VLOOKUP("TV SUSEPE 01 40H",RHE,5,FALSE))</f>
        <v>41579</v>
      </c>
      <c r="Q4" s="1496"/>
      <c r="R4" s="1154"/>
      <c r="S4" s="678"/>
      <c r="T4" s="678"/>
      <c r="U4" s="678"/>
      <c r="V4" s="678"/>
    </row>
    <row r="5" spans="1:22" ht="15">
      <c r="A5" s="671"/>
      <c r="B5" s="672"/>
      <c r="C5" s="672"/>
      <c r="D5" s="672"/>
      <c r="E5" s="1546"/>
      <c r="F5" s="1547"/>
      <c r="G5" s="1497" t="s">
        <v>195</v>
      </c>
      <c r="H5" s="1497"/>
      <c r="I5" s="1497"/>
      <c r="J5" s="1497"/>
      <c r="K5" s="1497"/>
      <c r="L5" s="1497"/>
      <c r="M5" s="1497"/>
      <c r="N5" s="1497"/>
      <c r="O5" s="1497"/>
      <c r="P5" s="688"/>
      <c r="Q5" s="688"/>
      <c r="R5" s="689"/>
      <c r="S5" s="678"/>
      <c r="T5" s="678"/>
      <c r="U5" s="678"/>
      <c r="V5" s="678"/>
    </row>
    <row r="6" spans="1:22" ht="15">
      <c r="A6" s="671"/>
      <c r="B6" s="672"/>
      <c r="C6" s="672"/>
      <c r="D6" s="672"/>
      <c r="E6" s="1548"/>
      <c r="F6" s="1549"/>
      <c r="G6" s="690"/>
      <c r="H6" s="691"/>
      <c r="I6" s="692"/>
      <c r="J6" s="693"/>
      <c r="K6" s="694"/>
      <c r="L6" s="691"/>
      <c r="M6" s="691"/>
      <c r="N6" s="693"/>
      <c r="O6" s="692"/>
      <c r="P6" s="695"/>
      <c r="Q6" s="695"/>
      <c r="R6" s="696"/>
      <c r="S6" s="678"/>
      <c r="T6" s="678"/>
      <c r="U6" s="678"/>
      <c r="V6" s="678"/>
    </row>
    <row r="7" spans="1:21" ht="12.75" thickBot="1">
      <c r="A7" s="671"/>
      <c r="B7" s="672"/>
      <c r="C7" s="672"/>
      <c r="D7" s="672"/>
      <c r="E7" s="698"/>
      <c r="F7" s="699"/>
      <c r="G7" s="674"/>
      <c r="H7" s="673"/>
      <c r="I7" s="675"/>
      <c r="J7" s="670"/>
      <c r="K7" s="676"/>
      <c r="L7" s="673"/>
      <c r="M7" s="673"/>
      <c r="N7" s="670"/>
      <c r="O7" s="675"/>
      <c r="P7" s="677"/>
      <c r="Q7" s="1155"/>
      <c r="R7" s="704"/>
      <c r="S7" s="678"/>
      <c r="T7" s="678"/>
      <c r="U7" s="678"/>
    </row>
    <row r="8" spans="1:22" ht="12">
      <c r="A8" s="671"/>
      <c r="B8" s="700" t="s">
        <v>136</v>
      </c>
      <c r="C8" s="701">
        <f>P4</f>
        <v>41579</v>
      </c>
      <c r="D8" s="976"/>
      <c r="E8" s="702"/>
      <c r="F8" s="1550" t="s">
        <v>604</v>
      </c>
      <c r="G8" s="1552" t="s">
        <v>227</v>
      </c>
      <c r="H8" s="1531" t="s">
        <v>17</v>
      </c>
      <c r="I8" s="1533" t="s">
        <v>776</v>
      </c>
      <c r="J8" s="1539" t="s">
        <v>1408</v>
      </c>
      <c r="K8" s="1539" t="s">
        <v>1420</v>
      </c>
      <c r="L8" s="1541" t="s">
        <v>346</v>
      </c>
      <c r="M8" s="703"/>
      <c r="N8" s="1531" t="s">
        <v>604</v>
      </c>
      <c r="O8" s="1531" t="s">
        <v>227</v>
      </c>
      <c r="P8" s="1533" t="s">
        <v>776</v>
      </c>
      <c r="Q8" s="1531" t="s">
        <v>1408</v>
      </c>
      <c r="R8" s="704"/>
      <c r="S8" s="678"/>
      <c r="T8" s="678"/>
      <c r="U8" s="678"/>
      <c r="V8" s="678"/>
    </row>
    <row r="9" spans="1:22" ht="12">
      <c r="A9" s="671"/>
      <c r="B9" s="705" t="s">
        <v>281</v>
      </c>
      <c r="C9" s="706">
        <f aca="true" t="shared" si="0" ref="C9:C60">J11</f>
        <v>727.17</v>
      </c>
      <c r="D9" s="754"/>
      <c r="E9" s="702"/>
      <c r="F9" s="1551"/>
      <c r="G9" s="1553"/>
      <c r="H9" s="1532"/>
      <c r="I9" s="1534"/>
      <c r="J9" s="1540"/>
      <c r="K9" s="1540"/>
      <c r="L9" s="1542"/>
      <c r="M9" s="703"/>
      <c r="N9" s="1532"/>
      <c r="O9" s="1532"/>
      <c r="P9" s="1534"/>
      <c r="Q9" s="1532"/>
      <c r="R9" s="704"/>
      <c r="S9" s="678"/>
      <c r="T9" s="678"/>
      <c r="U9" s="678"/>
      <c r="V9" s="678"/>
    </row>
    <row r="10" spans="1:22" ht="12">
      <c r="A10" s="671"/>
      <c r="B10" s="705" t="s">
        <v>285</v>
      </c>
      <c r="C10" s="706">
        <f t="shared" si="0"/>
        <v>787.78</v>
      </c>
      <c r="D10" s="754"/>
      <c r="E10" s="702"/>
      <c r="F10" s="707"/>
      <c r="G10" s="708"/>
      <c r="H10" s="707"/>
      <c r="I10" s="709"/>
      <c r="J10" s="678"/>
      <c r="K10" s="678"/>
      <c r="L10" s="710"/>
      <c r="M10" s="707"/>
      <c r="N10" s="707"/>
      <c r="O10" s="678"/>
      <c r="P10" s="709"/>
      <c r="Q10" s="711"/>
      <c r="R10" s="704"/>
      <c r="S10" s="678"/>
      <c r="T10" s="678"/>
      <c r="U10" s="678"/>
      <c r="V10" s="678"/>
    </row>
    <row r="11" spans="1:22" ht="12">
      <c r="A11" s="671"/>
      <c r="B11" s="705" t="s">
        <v>289</v>
      </c>
      <c r="C11" s="706">
        <f t="shared" si="0"/>
        <v>848.39</v>
      </c>
      <c r="D11" s="754"/>
      <c r="E11" s="702"/>
      <c r="F11" s="712" t="s">
        <v>1409</v>
      </c>
      <c r="G11" s="1535" t="s">
        <v>1726</v>
      </c>
      <c r="H11" s="713" t="s">
        <v>917</v>
      </c>
      <c r="I11" s="1536">
        <v>40</v>
      </c>
      <c r="J11" s="884">
        <f>VLOOKUP("TV SUSEPE 26 40H",RHE,10,FALSE)</f>
        <v>727.17</v>
      </c>
      <c r="K11" s="884">
        <f>VLOOKUP("TV SUSEPE 26 40H",RHE,16,FALSE)</f>
        <v>2975.84</v>
      </c>
      <c r="L11" s="1537">
        <f>VLOOKUP("TV SUSEPE 01 40H",RHE,12,FALSE)</f>
        <v>222</v>
      </c>
      <c r="M11" s="707"/>
      <c r="N11" s="715" t="s">
        <v>1361</v>
      </c>
      <c r="O11" s="1538" t="s">
        <v>347</v>
      </c>
      <c r="P11" s="714">
        <v>20</v>
      </c>
      <c r="Q11" s="889">
        <f>ROUNDDOWN(Q13*0.5,2)</f>
        <v>2267.49</v>
      </c>
      <c r="R11" s="704"/>
      <c r="S11" s="678"/>
      <c r="T11" s="678"/>
      <c r="U11" s="678"/>
      <c r="V11" s="678"/>
    </row>
    <row r="12" spans="1:22" ht="12.75" customHeight="1">
      <c r="A12" s="716"/>
      <c r="B12" s="705" t="s">
        <v>60</v>
      </c>
      <c r="C12" s="706">
        <f t="shared" si="0"/>
        <v>909.05</v>
      </c>
      <c r="D12" s="754"/>
      <c r="E12" s="702"/>
      <c r="F12" s="717" t="s">
        <v>1410</v>
      </c>
      <c r="G12" s="1500"/>
      <c r="H12" s="718" t="s">
        <v>1346</v>
      </c>
      <c r="I12" s="1503"/>
      <c r="J12" s="885">
        <f>VLOOKUP("TV SUSEPE 27 40H",RHE,10,FALSE)</f>
        <v>787.78</v>
      </c>
      <c r="K12" s="885">
        <f>VLOOKUP("TV SUSEPE 27 40H",RHE,16,FALSE)</f>
        <v>4178.54</v>
      </c>
      <c r="L12" s="1493"/>
      <c r="M12" s="707"/>
      <c r="N12" s="720" t="s">
        <v>1362</v>
      </c>
      <c r="O12" s="1526"/>
      <c r="P12" s="719">
        <v>30</v>
      </c>
      <c r="Q12" s="890">
        <f>ROUNDDOWN(Q13*0.75,2)</f>
        <v>3401.23</v>
      </c>
      <c r="R12" s="704"/>
      <c r="S12" s="678"/>
      <c r="T12" s="678"/>
      <c r="U12" s="678"/>
      <c r="V12" s="678"/>
    </row>
    <row r="13" spans="1:22" ht="12.75" customHeight="1">
      <c r="A13" s="716"/>
      <c r="B13" s="705" t="s">
        <v>63</v>
      </c>
      <c r="C13" s="706">
        <f t="shared" si="0"/>
        <v>989.53</v>
      </c>
      <c r="D13" s="754"/>
      <c r="E13" s="702"/>
      <c r="F13" s="717" t="s">
        <v>1411</v>
      </c>
      <c r="G13" s="1500"/>
      <c r="H13" s="718" t="s">
        <v>1347</v>
      </c>
      <c r="I13" s="1503"/>
      <c r="J13" s="885">
        <f>VLOOKUP("TV SUSEPE 28 40H",RHE,10,FALSE)</f>
        <v>848.39</v>
      </c>
      <c r="K13" s="885">
        <f>VLOOKUP("TV SUSEPE 28 40H",RHE,16,FALSE)</f>
        <v>5485.65</v>
      </c>
      <c r="L13" s="1493"/>
      <c r="M13" s="707"/>
      <c r="N13" s="721" t="s">
        <v>1363</v>
      </c>
      <c r="O13" s="1527"/>
      <c r="P13" s="722">
        <v>40</v>
      </c>
      <c r="Q13" s="891">
        <f>VLOOKUP("TV IGP 01 40H",RHE,10,FALSE)</f>
        <v>4534.98</v>
      </c>
      <c r="R13" s="704"/>
      <c r="S13" s="678"/>
      <c r="T13" s="678"/>
      <c r="U13" s="678"/>
      <c r="V13" s="678"/>
    </row>
    <row r="14" spans="1:22" ht="12.75" customHeight="1">
      <c r="A14" s="716"/>
      <c r="B14" s="705" t="s">
        <v>863</v>
      </c>
      <c r="C14" s="706">
        <f t="shared" si="0"/>
        <v>1070.6</v>
      </c>
      <c r="D14" s="754"/>
      <c r="E14" s="702"/>
      <c r="F14" s="723" t="s">
        <v>1412</v>
      </c>
      <c r="G14" s="1501"/>
      <c r="H14" s="724" t="s">
        <v>1348</v>
      </c>
      <c r="I14" s="1504"/>
      <c r="J14" s="886">
        <f>VLOOKUP("TV SUSEPE 29 40H",RHE,10,FALSE)</f>
        <v>909.05</v>
      </c>
      <c r="K14" s="886">
        <f>VLOOKUP("TV SUSEPE 29 40H",RHE,16,FALSE)</f>
        <v>6525.31</v>
      </c>
      <c r="L14" s="1493"/>
      <c r="M14" s="707"/>
      <c r="N14" s="725" t="s">
        <v>1364</v>
      </c>
      <c r="O14" s="1525" t="s">
        <v>348</v>
      </c>
      <c r="P14" s="726">
        <v>20</v>
      </c>
      <c r="Q14" s="889">
        <f>ROUNDDOWN(Q16*0.5,2)</f>
        <v>2451.62</v>
      </c>
      <c r="R14" s="704"/>
      <c r="S14" s="678"/>
      <c r="T14" s="678"/>
      <c r="U14" s="678"/>
      <c r="V14" s="678"/>
    </row>
    <row r="15" spans="1:22" ht="12.75" customHeight="1">
      <c r="A15" s="716"/>
      <c r="B15" s="705" t="s">
        <v>865</v>
      </c>
      <c r="C15" s="706">
        <f t="shared" si="0"/>
        <v>1137.22</v>
      </c>
      <c r="D15" s="754"/>
      <c r="E15" s="702"/>
      <c r="F15" s="727" t="s">
        <v>1413</v>
      </c>
      <c r="G15" s="1499" t="s">
        <v>1727</v>
      </c>
      <c r="H15" s="728" t="s">
        <v>917</v>
      </c>
      <c r="I15" s="1502">
        <v>40</v>
      </c>
      <c r="J15" s="887">
        <f>VLOOKUP("TV SUSEPE 05 40H",RHE,10,FALSE)</f>
        <v>989.53</v>
      </c>
      <c r="K15" s="887">
        <f>VLOOKUP("TV SUSEPE 05 40H",RHE,16,FALSE)</f>
        <v>4602.06</v>
      </c>
      <c r="L15" s="1493"/>
      <c r="M15" s="707"/>
      <c r="N15" s="720" t="s">
        <v>1365</v>
      </c>
      <c r="O15" s="1526"/>
      <c r="P15" s="719">
        <v>30</v>
      </c>
      <c r="Q15" s="890">
        <f>ROUNDDOWN(Q16*0.75,2)</f>
        <v>3677.43</v>
      </c>
      <c r="R15" s="704"/>
      <c r="S15" s="678"/>
      <c r="T15" s="678"/>
      <c r="U15" s="678"/>
      <c r="V15" s="678"/>
    </row>
    <row r="16" spans="1:22" ht="12.75" customHeight="1">
      <c r="A16" s="716"/>
      <c r="B16" s="705" t="s">
        <v>867</v>
      </c>
      <c r="C16" s="706">
        <f t="shared" si="0"/>
        <v>1215.99</v>
      </c>
      <c r="D16" s="754"/>
      <c r="E16" s="702"/>
      <c r="F16" s="717" t="s">
        <v>1414</v>
      </c>
      <c r="G16" s="1500"/>
      <c r="H16" s="718" t="s">
        <v>1346</v>
      </c>
      <c r="I16" s="1503"/>
      <c r="J16" s="885">
        <f>VLOOKUP("TV SUSEPE 06 40H",RHE,10,FALSE)</f>
        <v>1070.6</v>
      </c>
      <c r="K16" s="885">
        <f>VLOOKUP("TV SUSEPE 06 40H",RHE,16,FALSE)</f>
        <v>4896.91</v>
      </c>
      <c r="L16" s="1493"/>
      <c r="M16" s="707"/>
      <c r="N16" s="721" t="s">
        <v>1366</v>
      </c>
      <c r="O16" s="1527"/>
      <c r="P16" s="722">
        <v>40</v>
      </c>
      <c r="Q16" s="891">
        <f>VLOOKUP("TV IGP 02 40H",RHE,10,FALSE)</f>
        <v>4903.25</v>
      </c>
      <c r="R16" s="704"/>
      <c r="S16" s="678"/>
      <c r="T16" s="678"/>
      <c r="U16" s="678"/>
      <c r="V16" s="678"/>
    </row>
    <row r="17" spans="1:22" ht="12.75" customHeight="1">
      <c r="A17" s="716"/>
      <c r="B17" s="705" t="s">
        <v>868</v>
      </c>
      <c r="C17" s="706">
        <f t="shared" si="0"/>
        <v>938.94</v>
      </c>
      <c r="D17" s="754"/>
      <c r="E17" s="702"/>
      <c r="F17" s="717" t="s">
        <v>1415</v>
      </c>
      <c r="G17" s="1500"/>
      <c r="H17" s="718" t="s">
        <v>1347</v>
      </c>
      <c r="I17" s="1503"/>
      <c r="J17" s="885">
        <f>VLOOKUP("TV SUSEPE 07 40H",RHE,10,FALSE)</f>
        <v>1137.22</v>
      </c>
      <c r="K17" s="885">
        <f>VLOOKUP("TV SUSEPE 07 40H",RHE,16,FALSE)</f>
        <v>5721.06</v>
      </c>
      <c r="L17" s="1493"/>
      <c r="M17" s="707"/>
      <c r="N17" s="725" t="s">
        <v>1367</v>
      </c>
      <c r="O17" s="1525" t="s">
        <v>349</v>
      </c>
      <c r="P17" s="726">
        <v>20</v>
      </c>
      <c r="Q17" s="889">
        <f>ROUNDDOWN(Q19*0.5,2)</f>
        <v>2607.06</v>
      </c>
      <c r="R17" s="704"/>
      <c r="S17" s="707"/>
      <c r="T17" s="707"/>
      <c r="U17" s="707"/>
      <c r="V17" s="707"/>
    </row>
    <row r="18" spans="1:22" ht="12.75" customHeight="1">
      <c r="A18" s="716"/>
      <c r="B18" s="705" t="s">
        <v>869</v>
      </c>
      <c r="C18" s="706">
        <f t="shared" si="0"/>
        <v>545.37</v>
      </c>
      <c r="D18" s="754"/>
      <c r="E18" s="702"/>
      <c r="F18" s="723" t="s">
        <v>1416</v>
      </c>
      <c r="G18" s="1501"/>
      <c r="H18" s="724" t="s">
        <v>1348</v>
      </c>
      <c r="I18" s="1504"/>
      <c r="J18" s="886">
        <f>VLOOKUP("TV SUSEPE 08 40H",RHE,10,FALSE)</f>
        <v>1215.99</v>
      </c>
      <c r="K18" s="886">
        <f>VLOOKUP("TV SUSEPE 08 40H",RHE,16,FALSE)</f>
        <v>6762.6</v>
      </c>
      <c r="L18" s="1506"/>
      <c r="M18" s="707"/>
      <c r="N18" s="720" t="s">
        <v>1368</v>
      </c>
      <c r="O18" s="1526"/>
      <c r="P18" s="719">
        <v>30</v>
      </c>
      <c r="Q18" s="890">
        <f>ROUNDDOWN(Q19*0.75,2)</f>
        <v>3910.59</v>
      </c>
      <c r="R18" s="704"/>
      <c r="S18" s="707"/>
      <c r="T18" s="707"/>
      <c r="U18" s="707"/>
      <c r="V18" s="707"/>
    </row>
    <row r="19" spans="1:22" ht="12.75" customHeight="1">
      <c r="A19" s="716"/>
      <c r="B19" s="705" t="s">
        <v>708</v>
      </c>
      <c r="C19" s="706">
        <f t="shared" si="0"/>
        <v>590.83</v>
      </c>
      <c r="D19" s="754"/>
      <c r="E19" s="702"/>
      <c r="F19" s="729" t="s">
        <v>1417</v>
      </c>
      <c r="G19" s="730" t="s">
        <v>20</v>
      </c>
      <c r="H19" s="731" t="s">
        <v>917</v>
      </c>
      <c r="I19" s="732">
        <v>40</v>
      </c>
      <c r="J19" s="888">
        <f>VLOOKUP("TV SUSEPE 10 40H",RHE,10,FALSE)</f>
        <v>938.94</v>
      </c>
      <c r="K19" s="1156"/>
      <c r="L19" s="733">
        <f>VLOOKUP("TV SUSEPE 10 40H",RHE,12,FALSE)</f>
        <v>222</v>
      </c>
      <c r="M19" s="707"/>
      <c r="N19" s="721" t="s">
        <v>1369</v>
      </c>
      <c r="O19" s="1527"/>
      <c r="P19" s="722">
        <v>40</v>
      </c>
      <c r="Q19" s="891">
        <f>VLOOKUP("TV IGP 03 40H",RHE,10,FALSE)</f>
        <v>5214.13</v>
      </c>
      <c r="R19" s="704"/>
      <c r="S19" s="707"/>
      <c r="T19" s="707"/>
      <c r="U19" s="707"/>
      <c r="V19" s="707"/>
    </row>
    <row r="20" spans="1:22" ht="12">
      <c r="A20" s="716"/>
      <c r="B20" s="705" t="s">
        <v>709</v>
      </c>
      <c r="C20" s="706">
        <f t="shared" si="0"/>
        <v>636.29</v>
      </c>
      <c r="D20" s="754"/>
      <c r="E20" s="702"/>
      <c r="F20" s="727" t="s">
        <v>1292</v>
      </c>
      <c r="G20" s="1499" t="s">
        <v>1726</v>
      </c>
      <c r="H20" s="728" t="s">
        <v>917</v>
      </c>
      <c r="I20" s="1502">
        <v>30</v>
      </c>
      <c r="J20" s="887">
        <f>ROUNDDOWN(J11*0.75,2)</f>
        <v>545.37</v>
      </c>
      <c r="K20" s="887">
        <f>ROUNDDOWN(K11*0.75,2)</f>
        <v>2231.88</v>
      </c>
      <c r="L20" s="1505">
        <f>L11</f>
        <v>222</v>
      </c>
      <c r="M20" s="707"/>
      <c r="N20" s="725" t="s">
        <v>1370</v>
      </c>
      <c r="O20" s="1525" t="s">
        <v>350</v>
      </c>
      <c r="P20" s="726">
        <v>20</v>
      </c>
      <c r="Q20" s="889">
        <f>ROUNDDOWN(Q22*0.5,2)</f>
        <v>2734.49</v>
      </c>
      <c r="R20" s="704"/>
      <c r="S20" s="707"/>
      <c r="T20" s="707"/>
      <c r="U20" s="707"/>
      <c r="V20" s="707"/>
    </row>
    <row r="21" spans="1:22" ht="12.75" customHeight="1">
      <c r="A21" s="716"/>
      <c r="B21" s="705" t="s">
        <v>84</v>
      </c>
      <c r="C21" s="706">
        <f t="shared" si="0"/>
        <v>681.78</v>
      </c>
      <c r="D21" s="754"/>
      <c r="E21" s="702"/>
      <c r="F21" s="717" t="s">
        <v>1293</v>
      </c>
      <c r="G21" s="1500"/>
      <c r="H21" s="718" t="s">
        <v>1346</v>
      </c>
      <c r="I21" s="1503"/>
      <c r="J21" s="887">
        <f aca="true" t="shared" si="1" ref="J21:J28">ROUNDDOWN(J12*0.75,2)</f>
        <v>590.83</v>
      </c>
      <c r="K21" s="887">
        <f aca="true" t="shared" si="2" ref="K21:K27">ROUNDDOWN(K12*0.75,2)</f>
        <v>3133.9</v>
      </c>
      <c r="L21" s="1493"/>
      <c r="M21" s="707"/>
      <c r="N21" s="720" t="s">
        <v>1371</v>
      </c>
      <c r="O21" s="1526"/>
      <c r="P21" s="719">
        <v>30</v>
      </c>
      <c r="Q21" s="890">
        <f>ROUNDDOWN(Q22*0.75,2)</f>
        <v>4101.74</v>
      </c>
      <c r="R21" s="704"/>
      <c r="S21" s="707"/>
      <c r="T21" s="707"/>
      <c r="U21" s="707"/>
      <c r="V21" s="707"/>
    </row>
    <row r="22" spans="1:22" ht="12.75" customHeight="1">
      <c r="A22" s="716"/>
      <c r="B22" s="705" t="s">
        <v>85</v>
      </c>
      <c r="C22" s="706">
        <f t="shared" si="0"/>
        <v>742.14</v>
      </c>
      <c r="D22" s="754"/>
      <c r="E22" s="702"/>
      <c r="F22" s="717" t="s">
        <v>1294</v>
      </c>
      <c r="G22" s="1500"/>
      <c r="H22" s="718" t="s">
        <v>1347</v>
      </c>
      <c r="I22" s="1503"/>
      <c r="J22" s="887">
        <f t="shared" si="1"/>
        <v>636.29</v>
      </c>
      <c r="K22" s="887">
        <f t="shared" si="2"/>
        <v>4114.23</v>
      </c>
      <c r="L22" s="1493"/>
      <c r="M22" s="707"/>
      <c r="N22" s="721" t="s">
        <v>1372</v>
      </c>
      <c r="O22" s="1527"/>
      <c r="P22" s="722">
        <v>40</v>
      </c>
      <c r="Q22" s="891">
        <f>VLOOKUP("TV IGP 04 40H",RHE,10,FALSE)</f>
        <v>5468.99</v>
      </c>
      <c r="R22" s="704"/>
      <c r="S22" s="707"/>
      <c r="T22" s="707"/>
      <c r="U22" s="707"/>
      <c r="V22" s="707"/>
    </row>
    <row r="23" spans="1:22" ht="12.75" customHeight="1">
      <c r="A23" s="716"/>
      <c r="B23" s="705" t="s">
        <v>715</v>
      </c>
      <c r="C23" s="706">
        <f t="shared" si="0"/>
        <v>802.95</v>
      </c>
      <c r="D23" s="754"/>
      <c r="E23" s="702"/>
      <c r="F23" s="723" t="s">
        <v>1295</v>
      </c>
      <c r="G23" s="1501"/>
      <c r="H23" s="724" t="s">
        <v>1348</v>
      </c>
      <c r="I23" s="1504"/>
      <c r="J23" s="887">
        <f t="shared" si="1"/>
        <v>681.78</v>
      </c>
      <c r="K23" s="887">
        <f t="shared" si="2"/>
        <v>4893.98</v>
      </c>
      <c r="L23" s="1493"/>
      <c r="M23" s="707"/>
      <c r="N23" s="725" t="s">
        <v>1373</v>
      </c>
      <c r="O23" s="1525" t="s">
        <v>351</v>
      </c>
      <c r="P23" s="726">
        <v>20</v>
      </c>
      <c r="Q23" s="889">
        <f>ROUNDDOWN(Q25*0.5,2)</f>
        <v>1204.05</v>
      </c>
      <c r="R23" s="704"/>
      <c r="S23" s="707"/>
      <c r="T23" s="707"/>
      <c r="U23" s="707"/>
      <c r="V23" s="707"/>
    </row>
    <row r="24" spans="1:22" ht="12.75" customHeight="1">
      <c r="A24" s="716"/>
      <c r="B24" s="705" t="s">
        <v>716</v>
      </c>
      <c r="C24" s="706">
        <f t="shared" si="0"/>
        <v>852.91</v>
      </c>
      <c r="D24" s="754"/>
      <c r="E24" s="702"/>
      <c r="F24" s="727" t="s">
        <v>1296</v>
      </c>
      <c r="G24" s="1499" t="s">
        <v>1727</v>
      </c>
      <c r="H24" s="728" t="s">
        <v>917</v>
      </c>
      <c r="I24" s="1502">
        <v>30</v>
      </c>
      <c r="J24" s="887">
        <f t="shared" si="1"/>
        <v>742.14</v>
      </c>
      <c r="K24" s="887">
        <f t="shared" si="2"/>
        <v>3451.54</v>
      </c>
      <c r="L24" s="1493"/>
      <c r="M24" s="707"/>
      <c r="N24" s="720" t="s">
        <v>1374</v>
      </c>
      <c r="O24" s="1526"/>
      <c r="P24" s="719">
        <v>30</v>
      </c>
      <c r="Q24" s="890">
        <f>ROUNDDOWN(Q25*0.75,2)</f>
        <v>1806.08</v>
      </c>
      <c r="R24" s="704"/>
      <c r="S24" s="707"/>
      <c r="T24" s="707"/>
      <c r="U24" s="707"/>
      <c r="V24" s="707"/>
    </row>
    <row r="25" spans="1:22" ht="12.75" customHeight="1">
      <c r="A25" s="716"/>
      <c r="B25" s="705" t="s">
        <v>717</v>
      </c>
      <c r="C25" s="706">
        <f t="shared" si="0"/>
        <v>911.99</v>
      </c>
      <c r="D25" s="754"/>
      <c r="E25" s="702"/>
      <c r="F25" s="717" t="s">
        <v>1297</v>
      </c>
      <c r="G25" s="1500"/>
      <c r="H25" s="718" t="s">
        <v>1346</v>
      </c>
      <c r="I25" s="1503"/>
      <c r="J25" s="887">
        <f t="shared" si="1"/>
        <v>802.95</v>
      </c>
      <c r="K25" s="887">
        <f t="shared" si="2"/>
        <v>3672.68</v>
      </c>
      <c r="L25" s="1493"/>
      <c r="M25" s="707"/>
      <c r="N25" s="721" t="s">
        <v>1375</v>
      </c>
      <c r="O25" s="1527"/>
      <c r="P25" s="722">
        <v>40</v>
      </c>
      <c r="Q25" s="891">
        <f>VLOOKUP("TV IGP 06 40H",RHE,10,FALSE)</f>
        <v>2408.11</v>
      </c>
      <c r="R25" s="704"/>
      <c r="S25" s="707"/>
      <c r="T25" s="707"/>
      <c r="U25" s="707"/>
      <c r="V25" s="707"/>
    </row>
    <row r="26" spans="1:22" ht="12.75" customHeight="1">
      <c r="A26" s="716"/>
      <c r="B26" s="705" t="s">
        <v>718</v>
      </c>
      <c r="C26" s="706">
        <f t="shared" si="0"/>
        <v>704.2</v>
      </c>
      <c r="D26" s="754"/>
      <c r="E26" s="702"/>
      <c r="F26" s="717" t="s">
        <v>1298</v>
      </c>
      <c r="G26" s="1500"/>
      <c r="H26" s="718" t="s">
        <v>1347</v>
      </c>
      <c r="I26" s="1503"/>
      <c r="J26" s="887">
        <f t="shared" si="1"/>
        <v>852.91</v>
      </c>
      <c r="K26" s="887">
        <f t="shared" si="2"/>
        <v>4290.79</v>
      </c>
      <c r="L26" s="1493"/>
      <c r="M26" s="707"/>
      <c r="N26" s="725" t="s">
        <v>1376</v>
      </c>
      <c r="O26" s="1525" t="s">
        <v>352</v>
      </c>
      <c r="P26" s="726">
        <v>20</v>
      </c>
      <c r="Q26" s="889">
        <f>ROUNDDOWN(Q28*0.5,2)</f>
        <v>1309.04</v>
      </c>
      <c r="R26" s="704"/>
      <c r="S26" s="707"/>
      <c r="T26" s="707"/>
      <c r="U26" s="707"/>
      <c r="V26" s="707"/>
    </row>
    <row r="27" spans="1:22" ht="12.75" customHeight="1">
      <c r="A27" s="716"/>
      <c r="B27" s="705" t="s">
        <v>719</v>
      </c>
      <c r="C27" s="706">
        <f t="shared" si="0"/>
        <v>363.58</v>
      </c>
      <c r="D27" s="754"/>
      <c r="E27" s="702"/>
      <c r="F27" s="723" t="s">
        <v>1299</v>
      </c>
      <c r="G27" s="1501"/>
      <c r="H27" s="724" t="s">
        <v>1348</v>
      </c>
      <c r="I27" s="1504"/>
      <c r="J27" s="887">
        <f t="shared" si="1"/>
        <v>911.99</v>
      </c>
      <c r="K27" s="887">
        <f t="shared" si="2"/>
        <v>5071.95</v>
      </c>
      <c r="L27" s="1506"/>
      <c r="M27" s="707"/>
      <c r="N27" s="720" t="s">
        <v>1377</v>
      </c>
      <c r="O27" s="1526"/>
      <c r="P27" s="719">
        <v>30</v>
      </c>
      <c r="Q27" s="890">
        <f>ROUNDDOWN(Q28*0.75,2)</f>
        <v>1963.56</v>
      </c>
      <c r="R27" s="704"/>
      <c r="S27" s="707"/>
      <c r="T27" s="707"/>
      <c r="U27" s="707"/>
      <c r="V27" s="707"/>
    </row>
    <row r="28" spans="1:22" ht="12.75" customHeight="1">
      <c r="A28" s="716"/>
      <c r="B28" s="705" t="s">
        <v>720</v>
      </c>
      <c r="C28" s="706">
        <f t="shared" si="0"/>
        <v>393.89</v>
      </c>
      <c r="D28" s="754"/>
      <c r="E28" s="702"/>
      <c r="F28" s="729" t="s">
        <v>1300</v>
      </c>
      <c r="G28" s="730" t="s">
        <v>20</v>
      </c>
      <c r="H28" s="731" t="s">
        <v>917</v>
      </c>
      <c r="I28" s="732">
        <v>30</v>
      </c>
      <c r="J28" s="888">
        <f t="shared" si="1"/>
        <v>704.2</v>
      </c>
      <c r="K28" s="1156"/>
      <c r="L28" s="733">
        <f>L19</f>
        <v>222</v>
      </c>
      <c r="M28" s="707"/>
      <c r="N28" s="721" t="s">
        <v>1378</v>
      </c>
      <c r="O28" s="1527"/>
      <c r="P28" s="722">
        <v>40</v>
      </c>
      <c r="Q28" s="891">
        <f>VLOOKUP("TV IGP 07 40H",RHE,10,FALSE)</f>
        <v>2618.09</v>
      </c>
      <c r="R28" s="704"/>
      <c r="S28" s="707"/>
      <c r="T28" s="707"/>
      <c r="U28" s="707"/>
      <c r="V28" s="707"/>
    </row>
    <row r="29" spans="1:22" ht="12">
      <c r="A29" s="716"/>
      <c r="B29" s="705" t="s">
        <v>870</v>
      </c>
      <c r="C29" s="706">
        <f t="shared" si="0"/>
        <v>424.19</v>
      </c>
      <c r="D29" s="754"/>
      <c r="E29" s="702"/>
      <c r="F29" s="727" t="s">
        <v>1301</v>
      </c>
      <c r="G29" s="1499" t="s">
        <v>1726</v>
      </c>
      <c r="H29" s="728" t="s">
        <v>917</v>
      </c>
      <c r="I29" s="1502">
        <v>20</v>
      </c>
      <c r="J29" s="887">
        <f>ROUNDDOWN(J11*0.5,2)</f>
        <v>363.58</v>
      </c>
      <c r="K29" s="887">
        <f>ROUNDDOWN(K11*0.5,2)</f>
        <v>1487.92</v>
      </c>
      <c r="L29" s="1505">
        <f>L20</f>
        <v>222</v>
      </c>
      <c r="M29" s="707"/>
      <c r="N29" s="725" t="s">
        <v>1379</v>
      </c>
      <c r="O29" s="1525" t="s">
        <v>353</v>
      </c>
      <c r="P29" s="726">
        <v>20</v>
      </c>
      <c r="Q29" s="889">
        <f>ROUNDDOWN(Q31*0.5,2)</f>
        <v>1397.25</v>
      </c>
      <c r="R29" s="704"/>
      <c r="S29" s="707"/>
      <c r="T29" s="707"/>
      <c r="U29" s="707"/>
      <c r="V29" s="707"/>
    </row>
    <row r="30" spans="1:22" ht="12.75" customHeight="1">
      <c r="A30" s="716"/>
      <c r="B30" s="705" t="s">
        <v>871</v>
      </c>
      <c r="C30" s="706">
        <f t="shared" si="0"/>
        <v>454.52</v>
      </c>
      <c r="D30" s="754"/>
      <c r="E30" s="702"/>
      <c r="F30" s="717" t="s">
        <v>1302</v>
      </c>
      <c r="G30" s="1500"/>
      <c r="H30" s="718" t="s">
        <v>1346</v>
      </c>
      <c r="I30" s="1503"/>
      <c r="J30" s="887">
        <f aca="true" t="shared" si="3" ref="J30:K37">ROUNDDOWN(J12*0.5,2)</f>
        <v>393.89</v>
      </c>
      <c r="K30" s="887">
        <f t="shared" si="3"/>
        <v>2089.27</v>
      </c>
      <c r="L30" s="1493"/>
      <c r="M30" s="707"/>
      <c r="N30" s="720" t="s">
        <v>1380</v>
      </c>
      <c r="O30" s="1526"/>
      <c r="P30" s="719">
        <v>30</v>
      </c>
      <c r="Q30" s="890">
        <f>ROUNDDOWN(Q31*0.75,2)</f>
        <v>2095.87</v>
      </c>
      <c r="R30" s="704"/>
      <c r="S30" s="707"/>
      <c r="T30" s="707"/>
      <c r="U30" s="707"/>
      <c r="V30" s="707"/>
    </row>
    <row r="31" spans="1:22" ht="12.75" customHeight="1">
      <c r="A31" s="716"/>
      <c r="B31" s="705" t="s">
        <v>879</v>
      </c>
      <c r="C31" s="706">
        <f t="shared" si="0"/>
        <v>494.76</v>
      </c>
      <c r="D31" s="754"/>
      <c r="E31" s="702"/>
      <c r="F31" s="717" t="s">
        <v>1303</v>
      </c>
      <c r="G31" s="1500"/>
      <c r="H31" s="718" t="s">
        <v>1347</v>
      </c>
      <c r="I31" s="1503"/>
      <c r="J31" s="887">
        <f t="shared" si="3"/>
        <v>424.19</v>
      </c>
      <c r="K31" s="887">
        <f t="shared" si="3"/>
        <v>2742.82</v>
      </c>
      <c r="L31" s="1493"/>
      <c r="M31" s="707"/>
      <c r="N31" s="721" t="s">
        <v>1381</v>
      </c>
      <c r="O31" s="1527"/>
      <c r="P31" s="722">
        <v>40</v>
      </c>
      <c r="Q31" s="891">
        <f>VLOOKUP("TV IGP 08 40H",RHE,10,FALSE)</f>
        <v>2794.5</v>
      </c>
      <c r="R31" s="704"/>
      <c r="S31" s="707"/>
      <c r="T31" s="707"/>
      <c r="U31" s="707"/>
      <c r="V31" s="707"/>
    </row>
    <row r="32" spans="1:22" ht="12.75" customHeight="1">
      <c r="A32" s="716"/>
      <c r="B32" s="705" t="s">
        <v>880</v>
      </c>
      <c r="C32" s="706">
        <f t="shared" si="0"/>
        <v>535.3</v>
      </c>
      <c r="D32" s="754"/>
      <c r="E32" s="702"/>
      <c r="F32" s="723" t="s">
        <v>1304</v>
      </c>
      <c r="G32" s="1501"/>
      <c r="H32" s="724" t="s">
        <v>1348</v>
      </c>
      <c r="I32" s="1504"/>
      <c r="J32" s="887">
        <f t="shared" si="3"/>
        <v>454.52</v>
      </c>
      <c r="K32" s="887">
        <f t="shared" si="3"/>
        <v>3262.65</v>
      </c>
      <c r="L32" s="1493"/>
      <c r="M32" s="707"/>
      <c r="N32" s="725" t="s">
        <v>1382</v>
      </c>
      <c r="O32" s="1525" t="s">
        <v>354</v>
      </c>
      <c r="P32" s="726">
        <v>20</v>
      </c>
      <c r="Q32" s="889">
        <f>ROUNDDOWN(Q34*0.5,2)</f>
        <v>1469.54</v>
      </c>
      <c r="R32" s="704"/>
      <c r="S32" s="707"/>
      <c r="T32" s="707"/>
      <c r="U32" s="707"/>
      <c r="V32" s="707"/>
    </row>
    <row r="33" spans="1:22" ht="12.75" customHeight="1">
      <c r="A33" s="716"/>
      <c r="B33" s="705" t="s">
        <v>804</v>
      </c>
      <c r="C33" s="706">
        <f t="shared" si="0"/>
        <v>568.61</v>
      </c>
      <c r="D33" s="754"/>
      <c r="E33" s="702"/>
      <c r="F33" s="727" t="s">
        <v>1305</v>
      </c>
      <c r="G33" s="1499" t="s">
        <v>1727</v>
      </c>
      <c r="H33" s="728" t="s">
        <v>917</v>
      </c>
      <c r="I33" s="1502">
        <v>20</v>
      </c>
      <c r="J33" s="887">
        <f t="shared" si="3"/>
        <v>494.76</v>
      </c>
      <c r="K33" s="887">
        <f t="shared" si="3"/>
        <v>2301.03</v>
      </c>
      <c r="L33" s="1493"/>
      <c r="M33" s="707"/>
      <c r="N33" s="720" t="s">
        <v>1383</v>
      </c>
      <c r="O33" s="1526"/>
      <c r="P33" s="719">
        <v>30</v>
      </c>
      <c r="Q33" s="890">
        <f>ROUNDDOWN(Q34*0.75,2)</f>
        <v>2204.31</v>
      </c>
      <c r="R33" s="704"/>
      <c r="S33" s="707"/>
      <c r="T33" s="707"/>
      <c r="U33" s="707"/>
      <c r="V33" s="707"/>
    </row>
    <row r="34" spans="1:22" ht="12.75" customHeight="1">
      <c r="A34" s="716"/>
      <c r="B34" s="705" t="s">
        <v>805</v>
      </c>
      <c r="C34" s="706">
        <f t="shared" si="0"/>
        <v>607.99</v>
      </c>
      <c r="D34" s="754"/>
      <c r="E34" s="702"/>
      <c r="F34" s="717" t="s">
        <v>1306</v>
      </c>
      <c r="G34" s="1500"/>
      <c r="H34" s="718" t="s">
        <v>1346</v>
      </c>
      <c r="I34" s="1503"/>
      <c r="J34" s="887">
        <f t="shared" si="3"/>
        <v>535.3</v>
      </c>
      <c r="K34" s="887">
        <f t="shared" si="3"/>
        <v>2448.45</v>
      </c>
      <c r="L34" s="1493"/>
      <c r="M34" s="707"/>
      <c r="N34" s="721" t="s">
        <v>1384</v>
      </c>
      <c r="O34" s="1527"/>
      <c r="P34" s="722">
        <v>40</v>
      </c>
      <c r="Q34" s="891">
        <f>VLOOKUP("TV IGP 09 40H",RHE,10,FALSE)</f>
        <v>2939.09</v>
      </c>
      <c r="R34" s="704"/>
      <c r="S34" s="707"/>
      <c r="T34" s="707"/>
      <c r="U34" s="707"/>
      <c r="V34" s="707"/>
    </row>
    <row r="35" spans="1:22" ht="12.75" customHeight="1">
      <c r="A35" s="716"/>
      <c r="B35" s="705" t="s">
        <v>806</v>
      </c>
      <c r="C35" s="706">
        <f t="shared" si="0"/>
        <v>469.47</v>
      </c>
      <c r="D35" s="754"/>
      <c r="E35" s="702"/>
      <c r="F35" s="717" t="s">
        <v>1307</v>
      </c>
      <c r="G35" s="1500"/>
      <c r="H35" s="718" t="s">
        <v>1347</v>
      </c>
      <c r="I35" s="1503"/>
      <c r="J35" s="887">
        <f t="shared" si="3"/>
        <v>568.61</v>
      </c>
      <c r="K35" s="887">
        <f t="shared" si="3"/>
        <v>2860.53</v>
      </c>
      <c r="L35" s="1493"/>
      <c r="M35" s="707"/>
      <c r="N35" s="725" t="s">
        <v>1385</v>
      </c>
      <c r="O35" s="1525" t="s">
        <v>355</v>
      </c>
      <c r="P35" s="726">
        <v>20</v>
      </c>
      <c r="Q35" s="889">
        <f>ROUNDDOWN(Q37*0.5,2)</f>
        <v>724.56</v>
      </c>
      <c r="R35" s="704"/>
      <c r="S35" s="707"/>
      <c r="T35" s="707"/>
      <c r="U35" s="707"/>
      <c r="V35" s="707"/>
    </row>
    <row r="36" spans="1:22" ht="12.75" customHeight="1">
      <c r="A36" s="716"/>
      <c r="B36" s="705" t="s">
        <v>807</v>
      </c>
      <c r="C36" s="706">
        <f t="shared" si="0"/>
        <v>543.14</v>
      </c>
      <c r="D36" s="754"/>
      <c r="E36" s="702"/>
      <c r="F36" s="723" t="s">
        <v>1308</v>
      </c>
      <c r="G36" s="1501"/>
      <c r="H36" s="724" t="s">
        <v>1348</v>
      </c>
      <c r="I36" s="1504"/>
      <c r="J36" s="887">
        <f t="shared" si="3"/>
        <v>607.99</v>
      </c>
      <c r="K36" s="887">
        <f t="shared" si="3"/>
        <v>3381.3</v>
      </c>
      <c r="L36" s="1506"/>
      <c r="M36" s="707"/>
      <c r="N36" s="720" t="s">
        <v>1386</v>
      </c>
      <c r="O36" s="1526"/>
      <c r="P36" s="719">
        <v>30</v>
      </c>
      <c r="Q36" s="890">
        <f>ROUNDDOWN(Q37*0.75,2)</f>
        <v>1086.84</v>
      </c>
      <c r="R36" s="704"/>
      <c r="S36" s="707"/>
      <c r="T36" s="707"/>
      <c r="U36" s="707"/>
      <c r="V36" s="707"/>
    </row>
    <row r="37" spans="1:22" ht="12.75" customHeight="1">
      <c r="A37" s="716"/>
      <c r="B37" s="705" t="s">
        <v>808</v>
      </c>
      <c r="C37" s="706">
        <f t="shared" si="0"/>
        <v>594.06</v>
      </c>
      <c r="D37" s="754"/>
      <c r="E37" s="702"/>
      <c r="F37" s="729" t="s">
        <v>1309</v>
      </c>
      <c r="G37" s="730" t="s">
        <v>20</v>
      </c>
      <c r="H37" s="731" t="s">
        <v>917</v>
      </c>
      <c r="I37" s="732">
        <v>20</v>
      </c>
      <c r="J37" s="888">
        <f t="shared" si="3"/>
        <v>469.47</v>
      </c>
      <c r="K37" s="1156"/>
      <c r="L37" s="733">
        <f>L19</f>
        <v>222</v>
      </c>
      <c r="M37" s="707"/>
      <c r="N37" s="721" t="s">
        <v>1387</v>
      </c>
      <c r="O37" s="1527"/>
      <c r="P37" s="722">
        <v>40</v>
      </c>
      <c r="Q37" s="891">
        <f>VLOOKUP("TV IGP 11 40H",RHE,10,FALSE)</f>
        <v>1449.13</v>
      </c>
      <c r="R37" s="704"/>
      <c r="S37" s="707"/>
      <c r="T37" s="707"/>
      <c r="U37" s="707"/>
      <c r="V37" s="707"/>
    </row>
    <row r="38" spans="1:22" ht="12" customHeight="1">
      <c r="A38" s="716"/>
      <c r="B38" s="705" t="s">
        <v>809</v>
      </c>
      <c r="C38" s="706">
        <f t="shared" si="0"/>
        <v>644.82</v>
      </c>
      <c r="D38" s="754"/>
      <c r="E38" s="702"/>
      <c r="F38" s="727" t="s">
        <v>1310</v>
      </c>
      <c r="G38" s="1499" t="s">
        <v>1728</v>
      </c>
      <c r="H38" s="728" t="s">
        <v>917</v>
      </c>
      <c r="I38" s="1502">
        <v>40</v>
      </c>
      <c r="J38" s="887">
        <f>VLOOKUP("TV SUSEPE 21 40H",RHE,10,FALSE)</f>
        <v>543.14</v>
      </c>
      <c r="K38" s="887">
        <f>VLOOKUP("TV SUSEPE 21 40H",RHE,16,FALSE)</f>
        <v>2372.8</v>
      </c>
      <c r="L38" s="1505">
        <f>VLOOKUP("TV SUSEPE 11 40H",RHE,12,FALSE)</f>
        <v>222</v>
      </c>
      <c r="M38" s="707"/>
      <c r="N38" s="725" t="s">
        <v>1388</v>
      </c>
      <c r="O38" s="1522" t="s">
        <v>603</v>
      </c>
      <c r="P38" s="726">
        <v>20</v>
      </c>
      <c r="Q38" s="889">
        <f>ROUNDDOWN(Q40*0.5,2)</f>
        <v>787.72</v>
      </c>
      <c r="R38" s="704"/>
      <c r="S38" s="707"/>
      <c r="T38" s="707"/>
      <c r="U38" s="707"/>
      <c r="V38" s="707"/>
    </row>
    <row r="39" spans="1:22" ht="12.75" customHeight="1">
      <c r="A39" s="716"/>
      <c r="B39" s="705" t="s">
        <v>705</v>
      </c>
      <c r="C39" s="706">
        <f t="shared" si="0"/>
        <v>695.57</v>
      </c>
      <c r="D39" s="754"/>
      <c r="E39" s="702"/>
      <c r="F39" s="717" t="s">
        <v>1311</v>
      </c>
      <c r="G39" s="1500"/>
      <c r="H39" s="718" t="s">
        <v>1346</v>
      </c>
      <c r="I39" s="1503"/>
      <c r="J39" s="885">
        <f>VLOOKUP("TV SUSEPE 22 40H",RHE,10,FALSE)</f>
        <v>594.06</v>
      </c>
      <c r="K39" s="885">
        <f>VLOOKUP("TV SUSEPE 22 40H",RHE,16,FALSE)</f>
        <v>2666.6</v>
      </c>
      <c r="L39" s="1493"/>
      <c r="M39" s="707"/>
      <c r="N39" s="720" t="s">
        <v>1265</v>
      </c>
      <c r="O39" s="1523"/>
      <c r="P39" s="719">
        <v>30</v>
      </c>
      <c r="Q39" s="890">
        <f>ROUNDDOWN(Q40*0.75,2)</f>
        <v>1181.58</v>
      </c>
      <c r="R39" s="704"/>
      <c r="S39" s="707"/>
      <c r="T39" s="707"/>
      <c r="U39" s="707"/>
      <c r="V39" s="707"/>
    </row>
    <row r="40" spans="1:22" ht="12.75" customHeight="1">
      <c r="A40" s="716"/>
      <c r="B40" s="705" t="s">
        <v>706</v>
      </c>
      <c r="C40" s="706">
        <f t="shared" si="0"/>
        <v>642.68</v>
      </c>
      <c r="D40" s="754"/>
      <c r="E40" s="702"/>
      <c r="F40" s="717" t="s">
        <v>1312</v>
      </c>
      <c r="G40" s="1500"/>
      <c r="H40" s="718" t="s">
        <v>1347</v>
      </c>
      <c r="I40" s="1503"/>
      <c r="J40" s="885">
        <f>VLOOKUP("TV SUSEPE 23 40H",RHE,10,FALSE)</f>
        <v>644.82</v>
      </c>
      <c r="K40" s="885">
        <f>VLOOKUP("TV SUSEPE 23 40H",RHE,16,FALSE)</f>
        <v>3036.93</v>
      </c>
      <c r="L40" s="1493"/>
      <c r="M40" s="707"/>
      <c r="N40" s="721" t="s">
        <v>1266</v>
      </c>
      <c r="O40" s="1524"/>
      <c r="P40" s="722">
        <v>40</v>
      </c>
      <c r="Q40" s="891">
        <f>VLOOKUP("TV IGP 12 40H",RHE,10,FALSE)</f>
        <v>1575.45</v>
      </c>
      <c r="R40" s="704"/>
      <c r="S40" s="707"/>
      <c r="T40" s="707"/>
      <c r="U40" s="707"/>
      <c r="V40" s="707"/>
    </row>
    <row r="41" spans="1:22" ht="12.75" customHeight="1">
      <c r="A41" s="716"/>
      <c r="B41" s="705" t="s">
        <v>707</v>
      </c>
      <c r="C41" s="706">
        <f t="shared" si="0"/>
        <v>680.41</v>
      </c>
      <c r="D41" s="754"/>
      <c r="E41" s="702"/>
      <c r="F41" s="723" t="s">
        <v>1313</v>
      </c>
      <c r="G41" s="1501"/>
      <c r="H41" s="724" t="s">
        <v>1348</v>
      </c>
      <c r="I41" s="1504"/>
      <c r="J41" s="886">
        <f>VLOOKUP("TV SUSEPE 24 40H",RHE,10,FALSE)</f>
        <v>695.57</v>
      </c>
      <c r="K41" s="886">
        <f>VLOOKUP("TV SUSEPE 24 40H",RHE,16,FALSE)</f>
        <v>3853.63</v>
      </c>
      <c r="L41" s="1506"/>
      <c r="M41" s="707"/>
      <c r="N41" s="725" t="s">
        <v>1267</v>
      </c>
      <c r="O41" s="1525" t="s">
        <v>356</v>
      </c>
      <c r="P41" s="726">
        <v>20</v>
      </c>
      <c r="Q41" s="889">
        <f>ROUNDDOWN(Q43*0.5,2)</f>
        <v>842.04</v>
      </c>
      <c r="R41" s="704"/>
      <c r="S41" s="707"/>
      <c r="T41" s="707"/>
      <c r="U41" s="707"/>
      <c r="V41" s="707"/>
    </row>
    <row r="42" spans="1:22" ht="12.75" customHeight="1">
      <c r="A42" s="716"/>
      <c r="B42" s="705" t="s">
        <v>92</v>
      </c>
      <c r="C42" s="706">
        <f t="shared" si="0"/>
        <v>718.26</v>
      </c>
      <c r="D42" s="754"/>
      <c r="E42" s="702"/>
      <c r="F42" s="727" t="s">
        <v>1314</v>
      </c>
      <c r="G42" s="1499" t="s">
        <v>19</v>
      </c>
      <c r="H42" s="728" t="s">
        <v>917</v>
      </c>
      <c r="I42" s="1502">
        <v>40</v>
      </c>
      <c r="J42" s="887">
        <f>VLOOKUP("TV SUSEPE 15 40H",RHE,10,FALSE)</f>
        <v>642.68</v>
      </c>
      <c r="K42" s="887"/>
      <c r="L42" s="1505">
        <f>VLOOKUP("TV SUSEPE 15 40H",RHE,12,FALSE)</f>
        <v>100</v>
      </c>
      <c r="M42" s="707"/>
      <c r="N42" s="720" t="s">
        <v>1268</v>
      </c>
      <c r="O42" s="1526"/>
      <c r="P42" s="719">
        <v>30</v>
      </c>
      <c r="Q42" s="890">
        <f>ROUNDDOWN(Q43*0.75,2)</f>
        <v>1263.06</v>
      </c>
      <c r="R42" s="704"/>
      <c r="S42" s="707"/>
      <c r="T42" s="707"/>
      <c r="U42" s="707"/>
      <c r="V42" s="707"/>
    </row>
    <row r="43" spans="1:22" ht="12.75" customHeight="1">
      <c r="A43" s="716"/>
      <c r="B43" s="705" t="s">
        <v>93</v>
      </c>
      <c r="C43" s="706">
        <f t="shared" si="0"/>
        <v>756.1</v>
      </c>
      <c r="D43" s="754"/>
      <c r="E43" s="702"/>
      <c r="F43" s="717" t="s">
        <v>1315</v>
      </c>
      <c r="G43" s="1500"/>
      <c r="H43" s="718" t="s">
        <v>1346</v>
      </c>
      <c r="I43" s="1503"/>
      <c r="J43" s="885">
        <f>VLOOKUP("TV SUSEPE 16 40H",RHE,10,FALSE)</f>
        <v>680.41</v>
      </c>
      <c r="K43" s="885"/>
      <c r="L43" s="1493"/>
      <c r="M43" s="707"/>
      <c r="N43" s="721" t="s">
        <v>1269</v>
      </c>
      <c r="O43" s="1527"/>
      <c r="P43" s="722">
        <v>40</v>
      </c>
      <c r="Q43" s="891">
        <f>VLOOKUP("TV IGP 13 40H",RHE,10,FALSE)</f>
        <v>1684.09</v>
      </c>
      <c r="R43" s="704"/>
      <c r="S43" s="707"/>
      <c r="T43" s="707"/>
      <c r="U43" s="707"/>
      <c r="V43" s="707"/>
    </row>
    <row r="44" spans="1:22" ht="12.75" customHeight="1">
      <c r="A44" s="716"/>
      <c r="B44" s="705" t="s">
        <v>94</v>
      </c>
      <c r="C44" s="706">
        <f t="shared" si="0"/>
        <v>407.35</v>
      </c>
      <c r="D44" s="754"/>
      <c r="E44" s="702"/>
      <c r="F44" s="717" t="s">
        <v>1316</v>
      </c>
      <c r="G44" s="1500"/>
      <c r="H44" s="718" t="s">
        <v>1347</v>
      </c>
      <c r="I44" s="1503"/>
      <c r="J44" s="885">
        <f>VLOOKUP("TV SUSEPE 17 40H",RHE,10,FALSE)</f>
        <v>718.26</v>
      </c>
      <c r="K44" s="885"/>
      <c r="L44" s="1493"/>
      <c r="M44" s="707"/>
      <c r="N44" s="734" t="s">
        <v>1270</v>
      </c>
      <c r="O44" s="1528" t="s">
        <v>602</v>
      </c>
      <c r="P44" s="735">
        <v>20</v>
      </c>
      <c r="Q44" s="889">
        <f>ROUNDDOWN(Q46*0.5,2)</f>
        <v>887.48</v>
      </c>
      <c r="R44" s="704"/>
      <c r="S44" s="707"/>
      <c r="T44" s="707"/>
      <c r="U44" s="707"/>
      <c r="V44" s="707"/>
    </row>
    <row r="45" spans="1:22" ht="12.75" customHeight="1">
      <c r="A45" s="716"/>
      <c r="B45" s="705" t="s">
        <v>95</v>
      </c>
      <c r="C45" s="706">
        <f t="shared" si="0"/>
        <v>445.54</v>
      </c>
      <c r="D45" s="754"/>
      <c r="E45" s="702"/>
      <c r="F45" s="723" t="s">
        <v>1317</v>
      </c>
      <c r="G45" s="1501"/>
      <c r="H45" s="724" t="s">
        <v>1348</v>
      </c>
      <c r="I45" s="1504"/>
      <c r="J45" s="886">
        <f>VLOOKUP("TV SUSEPE 18 40H",RHE,10,FALSE)</f>
        <v>756.1</v>
      </c>
      <c r="K45" s="886"/>
      <c r="L45" s="1506"/>
      <c r="M45" s="707"/>
      <c r="N45" s="720" t="s">
        <v>1271</v>
      </c>
      <c r="O45" s="1529"/>
      <c r="P45" s="719">
        <v>30</v>
      </c>
      <c r="Q45" s="890">
        <f>ROUNDDOWN(Q46*0.75,2)</f>
        <v>1331.22</v>
      </c>
      <c r="R45" s="704"/>
      <c r="S45" s="707"/>
      <c r="T45" s="707"/>
      <c r="U45" s="707"/>
      <c r="V45" s="707"/>
    </row>
    <row r="46" spans="1:22" ht="12.75" customHeight="1">
      <c r="A46" s="716"/>
      <c r="B46" s="705" t="s">
        <v>727</v>
      </c>
      <c r="C46" s="706">
        <f t="shared" si="0"/>
        <v>483.61</v>
      </c>
      <c r="D46" s="754"/>
      <c r="E46" s="702"/>
      <c r="F46" s="727" t="s">
        <v>1318</v>
      </c>
      <c r="G46" s="1499" t="s">
        <v>1729</v>
      </c>
      <c r="H46" s="728" t="s">
        <v>917</v>
      </c>
      <c r="I46" s="1502">
        <v>30</v>
      </c>
      <c r="J46" s="887">
        <f>ROUNDDOWN(J38*0.75,2)</f>
        <v>407.35</v>
      </c>
      <c r="K46" s="887"/>
      <c r="L46" s="1505">
        <f>L38</f>
        <v>222</v>
      </c>
      <c r="M46" s="707"/>
      <c r="N46" s="736" t="s">
        <v>1272</v>
      </c>
      <c r="O46" s="1530"/>
      <c r="P46" s="737">
        <v>40</v>
      </c>
      <c r="Q46" s="891">
        <f>VLOOKUP("TV IGP 14 40H",RHE,10,FALSE)</f>
        <v>1774.96</v>
      </c>
      <c r="R46" s="704"/>
      <c r="S46" s="707"/>
      <c r="T46" s="707"/>
      <c r="U46" s="707"/>
      <c r="V46" s="707"/>
    </row>
    <row r="47" spans="1:22" ht="12.75" customHeight="1">
      <c r="A47" s="716"/>
      <c r="B47" s="705" t="s">
        <v>728</v>
      </c>
      <c r="C47" s="706">
        <f t="shared" si="0"/>
        <v>521.67</v>
      </c>
      <c r="D47" s="754"/>
      <c r="E47" s="702"/>
      <c r="F47" s="717" t="s">
        <v>1319</v>
      </c>
      <c r="G47" s="1500"/>
      <c r="H47" s="718" t="s">
        <v>1346</v>
      </c>
      <c r="I47" s="1503"/>
      <c r="J47" s="887">
        <f aca="true" t="shared" si="4" ref="J47:J53">ROUNDDOWN(J39*0.75,2)</f>
        <v>445.54</v>
      </c>
      <c r="K47" s="887"/>
      <c r="L47" s="1493"/>
      <c r="M47" s="707"/>
      <c r="N47" s="777" t="s">
        <v>1273</v>
      </c>
      <c r="O47" s="778" t="s">
        <v>697</v>
      </c>
      <c r="P47" s="779">
        <v>40</v>
      </c>
      <c r="Q47" s="891">
        <f>VLOOKUP("TV IGP 10 40H",RHE,10,FALSE)</f>
        <v>3051.63</v>
      </c>
      <c r="R47" s="704"/>
      <c r="S47" s="707"/>
      <c r="T47" s="707"/>
      <c r="U47" s="707"/>
      <c r="V47" s="707"/>
    </row>
    <row r="48" spans="1:22" ht="12.75" customHeight="1">
      <c r="A48" s="716"/>
      <c r="B48" s="705" t="s">
        <v>271</v>
      </c>
      <c r="C48" s="706">
        <f t="shared" si="0"/>
        <v>482.01</v>
      </c>
      <c r="D48" s="754"/>
      <c r="E48" s="702"/>
      <c r="F48" s="717" t="s">
        <v>196</v>
      </c>
      <c r="G48" s="1500"/>
      <c r="H48" s="718" t="s">
        <v>1347</v>
      </c>
      <c r="I48" s="1503"/>
      <c r="J48" s="887">
        <f t="shared" si="4"/>
        <v>483.61</v>
      </c>
      <c r="K48" s="887"/>
      <c r="L48" s="1493"/>
      <c r="M48" s="707"/>
      <c r="N48" s="777" t="s">
        <v>1274</v>
      </c>
      <c r="O48" s="778" t="s">
        <v>698</v>
      </c>
      <c r="P48" s="779">
        <v>40</v>
      </c>
      <c r="Q48" s="891">
        <f>VLOOKUP("TV IGP 05 40H",RHE,10,FALSE)</f>
        <v>5666.46</v>
      </c>
      <c r="R48" s="704"/>
      <c r="S48" s="707"/>
      <c r="T48" s="707"/>
      <c r="U48" s="707"/>
      <c r="V48" s="707"/>
    </row>
    <row r="49" spans="1:22" ht="12.75" customHeight="1">
      <c r="A49" s="716"/>
      <c r="B49" s="705" t="s">
        <v>272</v>
      </c>
      <c r="C49" s="706">
        <f t="shared" si="0"/>
        <v>510.3</v>
      </c>
      <c r="D49" s="754"/>
      <c r="E49" s="702"/>
      <c r="F49" s="723" t="s">
        <v>197</v>
      </c>
      <c r="G49" s="1501"/>
      <c r="H49" s="724" t="s">
        <v>1348</v>
      </c>
      <c r="I49" s="1504"/>
      <c r="J49" s="887">
        <f t="shared" si="4"/>
        <v>521.67</v>
      </c>
      <c r="K49" s="887"/>
      <c r="L49" s="1506"/>
      <c r="M49" s="707"/>
      <c r="N49" s="780" t="s">
        <v>1275</v>
      </c>
      <c r="O49" s="781" t="s">
        <v>699</v>
      </c>
      <c r="P49" s="782">
        <v>40</v>
      </c>
      <c r="Q49" s="891">
        <f>VLOOKUP("TV IGP 15 40H",RHE,10,FALSE)</f>
        <v>1876.73</v>
      </c>
      <c r="R49" s="704"/>
      <c r="S49" s="707"/>
      <c r="T49" s="707"/>
      <c r="U49" s="707"/>
      <c r="V49" s="707"/>
    </row>
    <row r="50" spans="1:22" ht="12.75" customHeight="1">
      <c r="A50" s="716"/>
      <c r="B50" s="705" t="s">
        <v>273</v>
      </c>
      <c r="C50" s="706">
        <f t="shared" si="0"/>
        <v>538.69</v>
      </c>
      <c r="D50" s="754"/>
      <c r="E50" s="702"/>
      <c r="F50" s="727" t="s">
        <v>198</v>
      </c>
      <c r="G50" s="1499" t="s">
        <v>19</v>
      </c>
      <c r="H50" s="728" t="s">
        <v>917</v>
      </c>
      <c r="I50" s="1502">
        <v>30</v>
      </c>
      <c r="J50" s="887">
        <f t="shared" si="4"/>
        <v>482.01</v>
      </c>
      <c r="K50" s="887"/>
      <c r="L50" s="1505">
        <f>L42</f>
        <v>100</v>
      </c>
      <c r="M50" s="707"/>
      <c r="N50" s="707"/>
      <c r="O50" s="678"/>
      <c r="P50" s="709"/>
      <c r="Q50" s="711"/>
      <c r="R50" s="704"/>
      <c r="S50" s="707"/>
      <c r="T50" s="707"/>
      <c r="U50" s="707"/>
      <c r="V50" s="707"/>
    </row>
    <row r="51" spans="1:22" ht="12.75" customHeight="1">
      <c r="A51" s="716"/>
      <c r="B51" s="705" t="s">
        <v>813</v>
      </c>
      <c r="C51" s="706">
        <f t="shared" si="0"/>
        <v>567.07</v>
      </c>
      <c r="D51" s="754"/>
      <c r="E51" s="702"/>
      <c r="F51" s="717" t="s">
        <v>1264</v>
      </c>
      <c r="G51" s="1500"/>
      <c r="H51" s="718" t="s">
        <v>1346</v>
      </c>
      <c r="I51" s="1503"/>
      <c r="J51" s="887">
        <f t="shared" si="4"/>
        <v>510.3</v>
      </c>
      <c r="K51" s="887"/>
      <c r="L51" s="1493"/>
      <c r="M51" s="707"/>
      <c r="N51" s="707"/>
      <c r="O51" s="678"/>
      <c r="P51" s="709"/>
      <c r="Q51" s="711"/>
      <c r="R51" s="704"/>
      <c r="S51" s="707"/>
      <c r="T51" s="707"/>
      <c r="U51" s="707"/>
      <c r="V51" s="707"/>
    </row>
    <row r="52" spans="1:22" ht="12.75" customHeight="1">
      <c r="A52" s="716"/>
      <c r="B52" s="705" t="s">
        <v>814</v>
      </c>
      <c r="C52" s="706">
        <f t="shared" si="0"/>
        <v>271.57</v>
      </c>
      <c r="D52" s="754"/>
      <c r="E52" s="702"/>
      <c r="F52" s="717" t="s">
        <v>199</v>
      </c>
      <c r="G52" s="1500"/>
      <c r="H52" s="718" t="s">
        <v>1347</v>
      </c>
      <c r="I52" s="1503"/>
      <c r="J52" s="887">
        <f t="shared" si="4"/>
        <v>538.69</v>
      </c>
      <c r="K52" s="887"/>
      <c r="L52" s="1493"/>
      <c r="M52" s="707"/>
      <c r="N52" s="707"/>
      <c r="O52" s="1485"/>
      <c r="P52" s="1485"/>
      <c r="Q52" s="711"/>
      <c r="R52" s="704"/>
      <c r="S52" s="707"/>
      <c r="T52" s="707"/>
      <c r="U52" s="707"/>
      <c r="V52" s="707"/>
    </row>
    <row r="53" spans="1:22" ht="12.75" customHeight="1">
      <c r="A53" s="716"/>
      <c r="B53" s="705" t="s">
        <v>815</v>
      </c>
      <c r="C53" s="706">
        <f t="shared" si="0"/>
        <v>297.03</v>
      </c>
      <c r="D53" s="754"/>
      <c r="E53" s="702"/>
      <c r="F53" s="723" t="s">
        <v>200</v>
      </c>
      <c r="G53" s="1501"/>
      <c r="H53" s="724" t="s">
        <v>1348</v>
      </c>
      <c r="I53" s="1504"/>
      <c r="J53" s="887">
        <f t="shared" si="4"/>
        <v>567.07</v>
      </c>
      <c r="K53" s="887"/>
      <c r="L53" s="1506"/>
      <c r="M53" s="707"/>
      <c r="N53" s="707"/>
      <c r="O53" s="1485"/>
      <c r="P53" s="1485"/>
      <c r="Q53" s="711"/>
      <c r="R53" s="704"/>
      <c r="S53" s="707"/>
      <c r="T53" s="707"/>
      <c r="U53" s="707"/>
      <c r="V53" s="707"/>
    </row>
    <row r="54" spans="1:22" ht="12.75" customHeight="1">
      <c r="A54" s="716"/>
      <c r="B54" s="705" t="s">
        <v>816</v>
      </c>
      <c r="C54" s="706">
        <f t="shared" si="0"/>
        <v>322.41</v>
      </c>
      <c r="D54" s="754"/>
      <c r="E54" s="702"/>
      <c r="F54" s="727" t="s">
        <v>201</v>
      </c>
      <c r="G54" s="1499" t="s">
        <v>18</v>
      </c>
      <c r="H54" s="728" t="s">
        <v>917</v>
      </c>
      <c r="I54" s="1502">
        <v>20</v>
      </c>
      <c r="J54" s="887">
        <f>ROUNDDOWN(J38*0.5,2)</f>
        <v>271.57</v>
      </c>
      <c r="K54" s="887"/>
      <c r="L54" s="1505">
        <f>L38</f>
        <v>222</v>
      </c>
      <c r="M54" s="707"/>
      <c r="N54" s="1507" t="s">
        <v>560</v>
      </c>
      <c r="O54" s="1508"/>
      <c r="P54" s="1508"/>
      <c r="Q54" s="1509"/>
      <c r="R54" s="704"/>
      <c r="S54" s="707"/>
      <c r="T54" s="707"/>
      <c r="U54" s="707"/>
      <c r="V54" s="707"/>
    </row>
    <row r="55" spans="1:22" ht="12.75" customHeight="1">
      <c r="A55" s="716"/>
      <c r="B55" s="705" t="s">
        <v>817</v>
      </c>
      <c r="C55" s="706">
        <f t="shared" si="0"/>
        <v>347.78</v>
      </c>
      <c r="D55" s="754"/>
      <c r="E55" s="702"/>
      <c r="F55" s="717" t="s">
        <v>202</v>
      </c>
      <c r="G55" s="1500"/>
      <c r="H55" s="718" t="s">
        <v>1346</v>
      </c>
      <c r="I55" s="1503"/>
      <c r="J55" s="887">
        <f aca="true" t="shared" si="5" ref="J55:J61">ROUNDDOWN(J39*0.5,2)</f>
        <v>297.03</v>
      </c>
      <c r="K55" s="887"/>
      <c r="L55" s="1493"/>
      <c r="M55" s="707"/>
      <c r="N55" s="1510"/>
      <c r="O55" s="1511"/>
      <c r="P55" s="1511"/>
      <c r="Q55" s="1512"/>
      <c r="R55" s="704"/>
      <c r="S55" s="707"/>
      <c r="T55" s="707"/>
      <c r="U55" s="707"/>
      <c r="V55" s="707"/>
    </row>
    <row r="56" spans="1:22" ht="12.75" customHeight="1">
      <c r="A56" s="716"/>
      <c r="B56" s="705" t="s">
        <v>818</v>
      </c>
      <c r="C56" s="706">
        <f t="shared" si="0"/>
        <v>321.34</v>
      </c>
      <c r="D56" s="754"/>
      <c r="E56" s="702"/>
      <c r="F56" s="717" t="s">
        <v>203</v>
      </c>
      <c r="G56" s="1500"/>
      <c r="H56" s="718" t="s">
        <v>1347</v>
      </c>
      <c r="I56" s="1503"/>
      <c r="J56" s="887">
        <f t="shared" si="5"/>
        <v>322.41</v>
      </c>
      <c r="K56" s="887"/>
      <c r="L56" s="1493"/>
      <c r="M56" s="707"/>
      <c r="N56" s="707"/>
      <c r="O56" s="1485"/>
      <c r="P56" s="1485"/>
      <c r="Q56" s="711"/>
      <c r="R56" s="704"/>
      <c r="S56" s="707"/>
      <c r="T56" s="707"/>
      <c r="U56" s="707"/>
      <c r="V56" s="707"/>
    </row>
    <row r="57" spans="1:22" ht="12.75" customHeight="1">
      <c r="A57" s="716"/>
      <c r="B57" s="705" t="s">
        <v>819</v>
      </c>
      <c r="C57" s="706">
        <f t="shared" si="0"/>
        <v>340.2</v>
      </c>
      <c r="D57" s="754"/>
      <c r="E57" s="702"/>
      <c r="F57" s="723" t="s">
        <v>204</v>
      </c>
      <c r="G57" s="1501"/>
      <c r="H57" s="724" t="s">
        <v>1348</v>
      </c>
      <c r="I57" s="1504"/>
      <c r="J57" s="887">
        <f t="shared" si="5"/>
        <v>347.78</v>
      </c>
      <c r="K57" s="887"/>
      <c r="L57" s="1506"/>
      <c r="M57" s="707"/>
      <c r="N57" s="1513" t="s">
        <v>580</v>
      </c>
      <c r="O57" s="1514"/>
      <c r="P57" s="1514"/>
      <c r="Q57" s="1515"/>
      <c r="R57" s="704"/>
      <c r="S57" s="707"/>
      <c r="T57" s="707"/>
      <c r="U57" s="707"/>
      <c r="V57" s="707"/>
    </row>
    <row r="58" spans="1:22" ht="12.75" customHeight="1">
      <c r="A58" s="716"/>
      <c r="B58" s="705" t="s">
        <v>820</v>
      </c>
      <c r="C58" s="706">
        <f t="shared" si="0"/>
        <v>359.13</v>
      </c>
      <c r="D58" s="754"/>
      <c r="E58" s="702"/>
      <c r="F58" s="727" t="s">
        <v>205</v>
      </c>
      <c r="G58" s="1499" t="s">
        <v>19</v>
      </c>
      <c r="H58" s="728" t="s">
        <v>917</v>
      </c>
      <c r="I58" s="1502">
        <v>20</v>
      </c>
      <c r="J58" s="887">
        <f t="shared" si="5"/>
        <v>321.34</v>
      </c>
      <c r="K58" s="887"/>
      <c r="L58" s="1505">
        <f>L50</f>
        <v>100</v>
      </c>
      <c r="M58" s="707"/>
      <c r="N58" s="1516"/>
      <c r="O58" s="1517"/>
      <c r="P58" s="1517"/>
      <c r="Q58" s="1518"/>
      <c r="R58" s="704"/>
      <c r="S58" s="707"/>
      <c r="T58" s="707"/>
      <c r="U58" s="707"/>
      <c r="V58" s="707"/>
    </row>
    <row r="59" spans="1:22" ht="12.75" customHeight="1">
      <c r="A59" s="716"/>
      <c r="B59" s="705" t="s">
        <v>821</v>
      </c>
      <c r="C59" s="706">
        <f t="shared" si="0"/>
        <v>378.05</v>
      </c>
      <c r="D59" s="754"/>
      <c r="E59" s="702"/>
      <c r="F59" s="717" t="s">
        <v>206</v>
      </c>
      <c r="G59" s="1500"/>
      <c r="H59" s="718" t="s">
        <v>1346</v>
      </c>
      <c r="I59" s="1503"/>
      <c r="J59" s="887">
        <f t="shared" si="5"/>
        <v>340.2</v>
      </c>
      <c r="K59" s="887"/>
      <c r="L59" s="1493"/>
      <c r="M59" s="707"/>
      <c r="N59" s="1519"/>
      <c r="O59" s="1520"/>
      <c r="P59" s="1520"/>
      <c r="Q59" s="1521"/>
      <c r="R59" s="739"/>
      <c r="S59" s="707"/>
      <c r="T59" s="707"/>
      <c r="U59" s="707"/>
      <c r="V59" s="707"/>
    </row>
    <row r="60" spans="1:22" ht="12.75" customHeight="1">
      <c r="A60" s="716"/>
      <c r="B60" s="705" t="s">
        <v>822</v>
      </c>
      <c r="C60" s="706">
        <f t="shared" si="0"/>
        <v>1315.96</v>
      </c>
      <c r="D60" s="754"/>
      <c r="E60" s="702"/>
      <c r="F60" s="717" t="s">
        <v>207</v>
      </c>
      <c r="G60" s="1500"/>
      <c r="H60" s="718" t="s">
        <v>1347</v>
      </c>
      <c r="I60" s="1503"/>
      <c r="J60" s="887">
        <f t="shared" si="5"/>
        <v>359.13</v>
      </c>
      <c r="K60" s="887"/>
      <c r="L60" s="1493"/>
      <c r="M60" s="707"/>
      <c r="N60" s="738"/>
      <c r="O60" s="738"/>
      <c r="P60" s="738"/>
      <c r="Q60" s="738"/>
      <c r="R60" s="739"/>
      <c r="S60" s="707"/>
      <c r="T60" s="707"/>
      <c r="U60" s="707"/>
      <c r="V60" s="707"/>
    </row>
    <row r="61" spans="1:22" ht="12" customHeight="1">
      <c r="A61" s="716"/>
      <c r="B61" s="705" t="s">
        <v>823</v>
      </c>
      <c r="C61" s="706">
        <f aca="true" t="shared" si="6" ref="C61:C67">J63</f>
        <v>750.05</v>
      </c>
      <c r="D61" s="754"/>
      <c r="E61" s="697"/>
      <c r="F61" s="723" t="s">
        <v>1342</v>
      </c>
      <c r="G61" s="1501"/>
      <c r="H61" s="724" t="s">
        <v>1348</v>
      </c>
      <c r="I61" s="1504"/>
      <c r="J61" s="887">
        <f t="shared" si="5"/>
        <v>378.05</v>
      </c>
      <c r="K61" s="887"/>
      <c r="L61" s="1506"/>
      <c r="M61" s="707"/>
      <c r="N61" s="738"/>
      <c r="O61" s="738"/>
      <c r="P61" s="738"/>
      <c r="Q61" s="738"/>
      <c r="R61" s="740"/>
      <c r="S61" s="707"/>
      <c r="T61" s="707"/>
      <c r="U61" s="707"/>
      <c r="V61" s="707"/>
    </row>
    <row r="62" spans="1:22" ht="12">
      <c r="A62" s="716"/>
      <c r="B62" s="705" t="s">
        <v>824</v>
      </c>
      <c r="C62" s="706">
        <f t="shared" si="6"/>
        <v>963.21</v>
      </c>
      <c r="D62" s="754"/>
      <c r="E62" s="697"/>
      <c r="F62" s="729" t="s">
        <v>1343</v>
      </c>
      <c r="G62" s="730" t="s">
        <v>1730</v>
      </c>
      <c r="H62" s="731" t="s">
        <v>1349</v>
      </c>
      <c r="I62" s="732">
        <v>40</v>
      </c>
      <c r="J62" s="888">
        <f>VLOOKUP("TV SUSEPE 09 40H",RHE,10,FALSE)</f>
        <v>1315.96</v>
      </c>
      <c r="K62" s="1156">
        <f>VLOOKUP("TV SUSEPE 09 40H",RHE,16,FALSE)</f>
        <v>9436.98</v>
      </c>
      <c r="L62" s="733">
        <f>VLOOKUP("TV SUSEPE 09 40H",RHE,12,FALSE)</f>
        <v>222</v>
      </c>
      <c r="M62" s="707"/>
      <c r="N62" s="1485"/>
      <c r="O62" s="1485"/>
      <c r="P62" s="1485"/>
      <c r="Q62" s="1485"/>
      <c r="R62" s="741"/>
      <c r="S62" s="707"/>
      <c r="T62" s="707"/>
      <c r="U62" s="707"/>
      <c r="V62" s="707"/>
    </row>
    <row r="63" spans="1:22" ht="12">
      <c r="A63" s="716"/>
      <c r="B63" s="705" t="s">
        <v>825</v>
      </c>
      <c r="C63" s="706">
        <f t="shared" si="6"/>
        <v>989.53</v>
      </c>
      <c r="D63" s="754"/>
      <c r="E63" s="697"/>
      <c r="F63" s="729" t="s">
        <v>1344</v>
      </c>
      <c r="G63" s="730" t="s">
        <v>1731</v>
      </c>
      <c r="H63" s="731" t="s">
        <v>1349</v>
      </c>
      <c r="I63" s="732">
        <v>40</v>
      </c>
      <c r="J63" s="888">
        <f>VLOOKUP("TV SUSEPE 25 40H",RHE,10,FALSE)</f>
        <v>750.05</v>
      </c>
      <c r="K63" s="1156">
        <f>VLOOKUP("TV SUSEPE 25 40H",RHE,16,FALSE)</f>
        <v>4368.3</v>
      </c>
      <c r="L63" s="733">
        <v>222</v>
      </c>
      <c r="M63" s="707"/>
      <c r="N63" s="707"/>
      <c r="O63" s="707"/>
      <c r="P63" s="707"/>
      <c r="Q63" s="707"/>
      <c r="R63" s="741"/>
      <c r="S63" s="707"/>
      <c r="T63" s="707"/>
      <c r="U63" s="707"/>
      <c r="V63" s="707"/>
    </row>
    <row r="64" spans="1:22" ht="12">
      <c r="A64" s="716"/>
      <c r="B64" s="705" t="s">
        <v>826</v>
      </c>
      <c r="C64" s="706">
        <f t="shared" si="6"/>
        <v>1070.6</v>
      </c>
      <c r="D64" s="754"/>
      <c r="E64" s="697"/>
      <c r="F64" s="727" t="s">
        <v>1345</v>
      </c>
      <c r="G64" s="1157" t="s">
        <v>1726</v>
      </c>
      <c r="H64" s="1158" t="s">
        <v>1349</v>
      </c>
      <c r="I64" s="1159">
        <v>40</v>
      </c>
      <c r="J64" s="1160">
        <f>VLOOKUP("TV SUSEPE 30 40H",RHE,10,FALSE)</f>
        <v>963.21</v>
      </c>
      <c r="K64" s="1161">
        <f>VLOOKUP("TV SUSEPE 30 40H",RHE,16,FALSE)</f>
        <v>7291.79</v>
      </c>
      <c r="L64" s="1149">
        <v>222</v>
      </c>
      <c r="M64" s="707"/>
      <c r="N64" s="707"/>
      <c r="O64" s="707"/>
      <c r="P64" s="707"/>
      <c r="Q64" s="707"/>
      <c r="R64" s="741"/>
      <c r="S64" s="707"/>
      <c r="T64" s="707"/>
      <c r="U64" s="707"/>
      <c r="V64" s="707"/>
    </row>
    <row r="65" spans="1:22" ht="12" customHeight="1">
      <c r="A65" s="716"/>
      <c r="B65" s="705" t="s">
        <v>827</v>
      </c>
      <c r="C65" s="706">
        <f t="shared" si="6"/>
        <v>1137.22</v>
      </c>
      <c r="D65" s="754"/>
      <c r="E65" s="697"/>
      <c r="F65" s="717" t="s">
        <v>1356</v>
      </c>
      <c r="G65" s="1486" t="s">
        <v>1732</v>
      </c>
      <c r="H65" s="718" t="s">
        <v>917</v>
      </c>
      <c r="I65" s="1489">
        <v>40</v>
      </c>
      <c r="J65" s="886">
        <f>VLOOKUP("TV SUSEPE 31 40H",RHE,10,FALSE)</f>
        <v>989.53</v>
      </c>
      <c r="K65" s="886">
        <f>VLOOKUP("TV SUSEPE 31 40H",RHE,16,FALSE)</f>
        <v>4602.06</v>
      </c>
      <c r="L65" s="1492">
        <v>222</v>
      </c>
      <c r="M65" s="707"/>
      <c r="N65" s="707"/>
      <c r="O65" s="707"/>
      <c r="P65" s="707"/>
      <c r="Q65" s="707"/>
      <c r="R65" s="741"/>
      <c r="S65" s="707"/>
      <c r="T65" s="707"/>
      <c r="U65" s="707"/>
      <c r="V65" s="707"/>
    </row>
    <row r="66" spans="1:22" ht="12">
      <c r="A66" s="716"/>
      <c r="B66" s="705" t="s">
        <v>800</v>
      </c>
      <c r="C66" s="706">
        <f t="shared" si="6"/>
        <v>1215.99</v>
      </c>
      <c r="D66" s="754"/>
      <c r="E66" s="697"/>
      <c r="F66" s="717" t="s">
        <v>1357</v>
      </c>
      <c r="G66" s="1487"/>
      <c r="H66" s="718" t="s">
        <v>1346</v>
      </c>
      <c r="I66" s="1490"/>
      <c r="J66" s="888">
        <f>VLOOKUP("TV SUSEPE 32 40H",RHE,10,FALSE)</f>
        <v>1070.6</v>
      </c>
      <c r="K66" s="888">
        <f>VLOOKUP("TV SUSEPE 32 40H",RHE,16,FALSE)</f>
        <v>4896.91</v>
      </c>
      <c r="L66" s="1493"/>
      <c r="M66" s="707"/>
      <c r="N66" s="707"/>
      <c r="O66" s="707"/>
      <c r="P66" s="707"/>
      <c r="Q66" s="707"/>
      <c r="R66" s="741"/>
      <c r="S66" s="707"/>
      <c r="T66" s="707"/>
      <c r="U66" s="707"/>
      <c r="V66" s="707"/>
    </row>
    <row r="67" spans="1:22" ht="12">
      <c r="A67" s="716"/>
      <c r="B67" s="705" t="s">
        <v>801</v>
      </c>
      <c r="C67" s="706">
        <f t="shared" si="6"/>
        <v>1315.96</v>
      </c>
      <c r="D67" s="754"/>
      <c r="E67" s="697"/>
      <c r="F67" s="717" t="s">
        <v>1358</v>
      </c>
      <c r="G67" s="1487"/>
      <c r="H67" s="718" t="s">
        <v>1347</v>
      </c>
      <c r="I67" s="1490"/>
      <c r="J67" s="888">
        <f>VLOOKUP("TV SUSEPE 33 40H",RHE,10,FALSE)</f>
        <v>1137.22</v>
      </c>
      <c r="K67" s="888">
        <f>VLOOKUP("TV SUSEPE 33 40H",RHE,16,FALSE)</f>
        <v>5721.06</v>
      </c>
      <c r="L67" s="1493"/>
      <c r="M67" s="707"/>
      <c r="N67" s="707"/>
      <c r="O67" s="707"/>
      <c r="P67" s="707"/>
      <c r="Q67" s="707"/>
      <c r="R67" s="741"/>
      <c r="S67" s="707"/>
      <c r="T67" s="707"/>
      <c r="U67" s="707"/>
      <c r="V67" s="707"/>
    </row>
    <row r="68" spans="1:22" ht="12">
      <c r="A68" s="716"/>
      <c r="B68" s="705" t="s">
        <v>802</v>
      </c>
      <c r="C68" s="706">
        <f aca="true" t="shared" si="7" ref="C68:C106">Q11</f>
        <v>2267.49</v>
      </c>
      <c r="D68" s="754"/>
      <c r="E68" s="697"/>
      <c r="F68" s="717" t="s">
        <v>1359</v>
      </c>
      <c r="G68" s="1487"/>
      <c r="H68" s="724" t="s">
        <v>1348</v>
      </c>
      <c r="I68" s="1490"/>
      <c r="J68" s="888">
        <f>VLOOKUP("TV SUSEPE 34 40H",RHE,10,FALSE)</f>
        <v>1215.99</v>
      </c>
      <c r="K68" s="888">
        <f>VLOOKUP("TV SUSEPE 34 40H",RHE,16,FALSE)</f>
        <v>6762.6</v>
      </c>
      <c r="L68" s="1493"/>
      <c r="M68" s="707"/>
      <c r="N68" s="707"/>
      <c r="O68" s="707"/>
      <c r="P68" s="707"/>
      <c r="Q68" s="707"/>
      <c r="R68" s="741"/>
      <c r="S68" s="707"/>
      <c r="T68" s="707"/>
      <c r="U68" s="707"/>
      <c r="V68" s="707"/>
    </row>
    <row r="69" spans="1:22" ht="12">
      <c r="A69" s="716"/>
      <c r="B69" s="705" t="s">
        <v>803</v>
      </c>
      <c r="C69" s="706">
        <f t="shared" si="7"/>
        <v>3401.23</v>
      </c>
      <c r="D69" s="754"/>
      <c r="E69" s="697"/>
      <c r="F69" s="1162" t="s">
        <v>1360</v>
      </c>
      <c r="G69" s="1488"/>
      <c r="H69" s="1163" t="s">
        <v>1349</v>
      </c>
      <c r="I69" s="1491"/>
      <c r="J69" s="994">
        <f>VLOOKUP("TV SUSEPE 35 40H",RHE,10,FALSE)</f>
        <v>1315.96</v>
      </c>
      <c r="K69" s="994">
        <f>VLOOKUP("TV SUSEPE 35 40H",RHE,16,FALSE)</f>
        <v>9436.98</v>
      </c>
      <c r="L69" s="1494"/>
      <c r="M69" s="707"/>
      <c r="N69" s="707"/>
      <c r="O69" s="707"/>
      <c r="P69" s="707"/>
      <c r="Q69" s="707"/>
      <c r="R69" s="741"/>
      <c r="S69" s="707"/>
      <c r="T69" s="707"/>
      <c r="U69" s="707"/>
      <c r="V69" s="707"/>
    </row>
    <row r="70" spans="1:22" ht="12">
      <c r="A70" s="716"/>
      <c r="B70" s="705" t="s">
        <v>96</v>
      </c>
      <c r="C70" s="706">
        <f t="shared" si="7"/>
        <v>4534.98</v>
      </c>
      <c r="D70" s="754"/>
      <c r="E70" s="742"/>
      <c r="F70" s="743"/>
      <c r="G70" s="744"/>
      <c r="H70" s="743"/>
      <c r="I70" s="745"/>
      <c r="J70" s="746"/>
      <c r="K70" s="747"/>
      <c r="L70" s="743"/>
      <c r="M70" s="743"/>
      <c r="N70" s="746"/>
      <c r="O70" s="745"/>
      <c r="P70" s="748"/>
      <c r="Q70" s="748"/>
      <c r="R70" s="749"/>
      <c r="S70" s="707"/>
      <c r="T70" s="707"/>
      <c r="U70" s="707"/>
      <c r="V70" s="707"/>
    </row>
    <row r="71" spans="1:21" ht="12">
      <c r="A71" s="716"/>
      <c r="B71" s="705" t="s">
        <v>97</v>
      </c>
      <c r="C71" s="706">
        <f t="shared" si="7"/>
        <v>2451.62</v>
      </c>
      <c r="D71" s="754"/>
      <c r="E71" s="678"/>
      <c r="F71" s="707"/>
      <c r="G71" s="708"/>
      <c r="H71" s="707"/>
      <c r="I71" s="709"/>
      <c r="J71" s="678"/>
      <c r="K71" s="710"/>
      <c r="L71" s="707"/>
      <c r="M71" s="707"/>
      <c r="N71" s="678"/>
      <c r="O71" s="709"/>
      <c r="P71" s="711"/>
      <c r="Q71" s="678"/>
      <c r="R71" s="707"/>
      <c r="S71" s="707"/>
      <c r="T71" s="707"/>
      <c r="U71" s="707"/>
    </row>
    <row r="72" spans="1:21" ht="12.75">
      <c r="A72" s="716"/>
      <c r="B72" s="705" t="s">
        <v>98</v>
      </c>
      <c r="C72" s="706">
        <f t="shared" si="7"/>
        <v>3677.43</v>
      </c>
      <c r="D72" s="754"/>
      <c r="E72" s="707"/>
      <c r="F72" s="678"/>
      <c r="G72" s="987"/>
      <c r="H72" s="678"/>
      <c r="I72" s="709"/>
      <c r="J72" s="707"/>
      <c r="K72" s="987"/>
      <c r="L72" s="678"/>
      <c r="M72" s="678"/>
      <c r="N72" s="707"/>
      <c r="O72" s="709"/>
      <c r="P72" s="988"/>
      <c r="Q72" s="707"/>
      <c r="R72" s="707"/>
      <c r="S72" s="707"/>
      <c r="T72" s="707"/>
      <c r="U72" s="707"/>
    </row>
    <row r="73" spans="1:21" ht="12.75">
      <c r="A73" s="716"/>
      <c r="B73" s="705" t="s">
        <v>99</v>
      </c>
      <c r="C73" s="706">
        <f t="shared" si="7"/>
        <v>4903.25</v>
      </c>
      <c r="D73" s="754"/>
      <c r="E73" s="707"/>
      <c r="F73" s="678"/>
      <c r="G73" s="987"/>
      <c r="H73" s="678"/>
      <c r="I73" s="709"/>
      <c r="J73" s="707"/>
      <c r="K73" s="987"/>
      <c r="L73" s="678"/>
      <c r="M73" s="678"/>
      <c r="N73" s="707"/>
      <c r="O73" s="709"/>
      <c r="P73" s="988"/>
      <c r="Q73" s="707"/>
      <c r="R73" s="707"/>
      <c r="S73" s="707"/>
      <c r="T73" s="707"/>
      <c r="U73" s="707"/>
    </row>
    <row r="74" spans="1:21" ht="12.75">
      <c r="A74" s="716"/>
      <c r="B74" s="705" t="s">
        <v>100</v>
      </c>
      <c r="C74" s="706">
        <f t="shared" si="7"/>
        <v>2607.06</v>
      </c>
      <c r="D74" s="754"/>
      <c r="E74" s="707"/>
      <c r="F74" s="678"/>
      <c r="G74" s="987"/>
      <c r="H74" s="678"/>
      <c r="I74" s="709"/>
      <c r="J74" s="707"/>
      <c r="K74" s="987"/>
      <c r="L74" s="678"/>
      <c r="M74" s="678"/>
      <c r="N74" s="707"/>
      <c r="O74" s="709"/>
      <c r="P74" s="988"/>
      <c r="Q74" s="707"/>
      <c r="R74" s="707"/>
      <c r="S74" s="707"/>
      <c r="T74" s="707"/>
      <c r="U74" s="707"/>
    </row>
    <row r="75" spans="1:21" ht="12.75">
      <c r="A75" s="716"/>
      <c r="B75" s="705" t="s">
        <v>101</v>
      </c>
      <c r="C75" s="706">
        <f t="shared" si="7"/>
        <v>3910.59</v>
      </c>
      <c r="D75" s="754"/>
      <c r="E75" s="707"/>
      <c r="F75" s="678"/>
      <c r="G75" s="987"/>
      <c r="H75" s="678"/>
      <c r="I75" s="709"/>
      <c r="J75" s="707"/>
      <c r="K75" s="987"/>
      <c r="L75" s="678"/>
      <c r="M75" s="678"/>
      <c r="N75" s="707"/>
      <c r="O75" s="709"/>
      <c r="P75" s="988"/>
      <c r="Q75" s="707"/>
      <c r="R75" s="707"/>
      <c r="S75" s="707"/>
      <c r="T75" s="707"/>
      <c r="U75" s="707"/>
    </row>
    <row r="76" spans="1:21" ht="12.75">
      <c r="A76" s="716"/>
      <c r="B76" s="705" t="s">
        <v>102</v>
      </c>
      <c r="C76" s="706">
        <f t="shared" si="7"/>
        <v>5214.13</v>
      </c>
      <c r="D76" s="754"/>
      <c r="E76" s="707"/>
      <c r="F76" s="678"/>
      <c r="G76" s="987"/>
      <c r="H76" s="678"/>
      <c r="I76" s="709"/>
      <c r="J76" s="707"/>
      <c r="K76" s="987"/>
      <c r="L76" s="678"/>
      <c r="M76" s="678"/>
      <c r="N76" s="707"/>
      <c r="O76" s="709"/>
      <c r="P76" s="988"/>
      <c r="Q76" s="707"/>
      <c r="R76" s="707"/>
      <c r="S76" s="707"/>
      <c r="T76" s="707"/>
      <c r="U76" s="707"/>
    </row>
    <row r="77" spans="1:21" ht="12.75">
      <c r="A77" s="716"/>
      <c r="B77" s="705" t="s">
        <v>103</v>
      </c>
      <c r="C77" s="706">
        <f t="shared" si="7"/>
        <v>2734.49</v>
      </c>
      <c r="D77" s="754"/>
      <c r="E77" s="707"/>
      <c r="F77" s="678"/>
      <c r="G77" s="987"/>
      <c r="H77" s="678"/>
      <c r="I77" s="709"/>
      <c r="J77" s="707"/>
      <c r="K77" s="987"/>
      <c r="L77" s="678"/>
      <c r="M77" s="678"/>
      <c r="N77" s="707"/>
      <c r="O77" s="709"/>
      <c r="P77" s="988"/>
      <c r="Q77" s="707"/>
      <c r="R77" s="707"/>
      <c r="S77" s="707"/>
      <c r="T77" s="707"/>
      <c r="U77" s="707"/>
    </row>
    <row r="78" spans="1:21" ht="12.75">
      <c r="A78" s="716"/>
      <c r="B78" s="705" t="s">
        <v>104</v>
      </c>
      <c r="C78" s="706">
        <f t="shared" si="7"/>
        <v>4101.74</v>
      </c>
      <c r="D78" s="754"/>
      <c r="E78" s="707"/>
      <c r="F78" s="678"/>
      <c r="G78" s="987"/>
      <c r="H78" s="678"/>
      <c r="I78" s="709"/>
      <c r="J78" s="707"/>
      <c r="K78" s="987"/>
      <c r="L78" s="678"/>
      <c r="M78" s="678"/>
      <c r="N78" s="707"/>
      <c r="O78" s="709"/>
      <c r="P78" s="988"/>
      <c r="Q78" s="707"/>
      <c r="R78" s="707"/>
      <c r="S78" s="707"/>
      <c r="T78" s="707"/>
      <c r="U78" s="707"/>
    </row>
    <row r="79" spans="1:21" ht="12.75">
      <c r="A79" s="716"/>
      <c r="B79" s="705" t="s">
        <v>105</v>
      </c>
      <c r="C79" s="706">
        <f t="shared" si="7"/>
        <v>5468.99</v>
      </c>
      <c r="D79" s="754"/>
      <c r="E79" s="707"/>
      <c r="F79" s="678"/>
      <c r="G79" s="987"/>
      <c r="H79" s="678"/>
      <c r="I79" s="709"/>
      <c r="J79" s="707"/>
      <c r="K79" s="987"/>
      <c r="L79" s="678"/>
      <c r="M79" s="678"/>
      <c r="N79" s="707"/>
      <c r="O79" s="709"/>
      <c r="P79" s="988"/>
      <c r="Q79" s="707"/>
      <c r="R79" s="707"/>
      <c r="S79" s="707"/>
      <c r="T79" s="707"/>
      <c r="U79" s="707"/>
    </row>
    <row r="80" spans="1:21" ht="12.75">
      <c r="A80" s="716"/>
      <c r="B80" s="705" t="s">
        <v>106</v>
      </c>
      <c r="C80" s="706">
        <f t="shared" si="7"/>
        <v>1204.05</v>
      </c>
      <c r="D80" s="754"/>
      <c r="E80" s="707"/>
      <c r="F80" s="678"/>
      <c r="G80" s="987"/>
      <c r="H80" s="678"/>
      <c r="I80" s="709"/>
      <c r="J80" s="707"/>
      <c r="K80" s="987"/>
      <c r="L80" s="678"/>
      <c r="M80" s="678"/>
      <c r="N80" s="707"/>
      <c r="O80" s="709"/>
      <c r="P80" s="988"/>
      <c r="Q80" s="707"/>
      <c r="R80" s="707"/>
      <c r="S80" s="707"/>
      <c r="T80" s="707"/>
      <c r="U80" s="707"/>
    </row>
    <row r="81" spans="1:21" ht="12.75">
      <c r="A81" s="716"/>
      <c r="B81" s="705" t="s">
        <v>107</v>
      </c>
      <c r="C81" s="706">
        <f t="shared" si="7"/>
        <v>1806.08</v>
      </c>
      <c r="D81" s="754"/>
      <c r="E81" s="707"/>
      <c r="F81" s="678"/>
      <c r="G81" s="987"/>
      <c r="H81" s="678"/>
      <c r="I81" s="709"/>
      <c r="J81" s="707"/>
      <c r="K81" s="987"/>
      <c r="L81" s="678"/>
      <c r="M81" s="678"/>
      <c r="N81" s="707"/>
      <c r="O81" s="709"/>
      <c r="P81" s="988"/>
      <c r="Q81" s="707"/>
      <c r="R81" s="707"/>
      <c r="S81" s="707"/>
      <c r="T81" s="707"/>
      <c r="U81" s="707"/>
    </row>
    <row r="82" spans="1:21" ht="12.75">
      <c r="A82" s="716"/>
      <c r="B82" s="705" t="s">
        <v>108</v>
      </c>
      <c r="C82" s="706">
        <f t="shared" si="7"/>
        <v>2408.11</v>
      </c>
      <c r="D82" s="754"/>
      <c r="E82" s="707"/>
      <c r="F82" s="678"/>
      <c r="G82" s="987"/>
      <c r="H82" s="678"/>
      <c r="I82" s="709"/>
      <c r="J82" s="707"/>
      <c r="K82" s="987"/>
      <c r="L82" s="678"/>
      <c r="M82" s="678"/>
      <c r="N82" s="707"/>
      <c r="O82" s="709"/>
      <c r="P82" s="988"/>
      <c r="Q82" s="707"/>
      <c r="R82" s="707"/>
      <c r="S82" s="707"/>
      <c r="T82" s="707"/>
      <c r="U82" s="707"/>
    </row>
    <row r="83" spans="1:21" ht="12.75">
      <c r="A83" s="716"/>
      <c r="B83" s="705" t="s">
        <v>109</v>
      </c>
      <c r="C83" s="706">
        <f t="shared" si="7"/>
        <v>1309.04</v>
      </c>
      <c r="D83" s="754"/>
      <c r="E83" s="707"/>
      <c r="F83" s="678"/>
      <c r="G83" s="987"/>
      <c r="H83" s="678"/>
      <c r="I83" s="709"/>
      <c r="J83" s="707"/>
      <c r="K83" s="987"/>
      <c r="L83" s="678"/>
      <c r="M83" s="678"/>
      <c r="N83" s="707"/>
      <c r="O83" s="709"/>
      <c r="P83" s="988"/>
      <c r="Q83" s="707"/>
      <c r="R83" s="707"/>
      <c r="S83" s="707"/>
      <c r="T83" s="707"/>
      <c r="U83" s="707"/>
    </row>
    <row r="84" spans="1:21" ht="12.75">
      <c r="A84" s="716"/>
      <c r="B84" s="705" t="s">
        <v>110</v>
      </c>
      <c r="C84" s="706">
        <f t="shared" si="7"/>
        <v>1963.56</v>
      </c>
      <c r="D84" s="754"/>
      <c r="E84" s="707"/>
      <c r="F84" s="678"/>
      <c r="G84" s="987"/>
      <c r="H84" s="678"/>
      <c r="I84" s="709"/>
      <c r="J84" s="707"/>
      <c r="K84" s="987"/>
      <c r="L84" s="678"/>
      <c r="M84" s="678"/>
      <c r="N84" s="707"/>
      <c r="O84" s="709"/>
      <c r="P84" s="988"/>
      <c r="Q84" s="707"/>
      <c r="R84" s="707"/>
      <c r="S84" s="707"/>
      <c r="T84" s="707"/>
      <c r="U84" s="707"/>
    </row>
    <row r="85" spans="1:21" ht="12.75">
      <c r="A85" s="716"/>
      <c r="B85" s="705" t="s">
        <v>111</v>
      </c>
      <c r="C85" s="706">
        <f t="shared" si="7"/>
        <v>2618.09</v>
      </c>
      <c r="D85" s="754"/>
      <c r="E85" s="707"/>
      <c r="F85" s="678"/>
      <c r="G85" s="987"/>
      <c r="H85" s="678"/>
      <c r="I85" s="709"/>
      <c r="J85" s="707"/>
      <c r="K85" s="987"/>
      <c r="L85" s="678"/>
      <c r="M85" s="678"/>
      <c r="N85" s="707"/>
      <c r="O85" s="709"/>
      <c r="P85" s="988"/>
      <c r="Q85" s="707"/>
      <c r="R85" s="707"/>
      <c r="S85" s="707"/>
      <c r="T85" s="707"/>
      <c r="U85" s="707"/>
    </row>
    <row r="86" spans="1:21" ht="12.75">
      <c r="A86" s="716"/>
      <c r="B86" s="705" t="s">
        <v>112</v>
      </c>
      <c r="C86" s="706">
        <f t="shared" si="7"/>
        <v>1397.25</v>
      </c>
      <c r="D86" s="754"/>
      <c r="E86" s="707"/>
      <c r="F86" s="678"/>
      <c r="G86" s="987"/>
      <c r="H86" s="678"/>
      <c r="I86" s="709"/>
      <c r="J86" s="707"/>
      <c r="K86" s="987"/>
      <c r="L86" s="678"/>
      <c r="M86" s="678"/>
      <c r="N86" s="707"/>
      <c r="O86" s="709"/>
      <c r="P86" s="988"/>
      <c r="Q86" s="707"/>
      <c r="R86" s="707"/>
      <c r="S86" s="707"/>
      <c r="T86" s="707"/>
      <c r="U86" s="707"/>
    </row>
    <row r="87" spans="1:21" ht="12.75">
      <c r="A87" s="716"/>
      <c r="B87" s="705" t="s">
        <v>113</v>
      </c>
      <c r="C87" s="706">
        <f t="shared" si="7"/>
        <v>2095.87</v>
      </c>
      <c r="D87" s="754"/>
      <c r="E87" s="707"/>
      <c r="F87" s="678"/>
      <c r="G87" s="987"/>
      <c r="H87" s="678"/>
      <c r="I87" s="709"/>
      <c r="J87" s="707"/>
      <c r="K87" s="987"/>
      <c r="L87" s="678"/>
      <c r="M87" s="678"/>
      <c r="N87" s="707"/>
      <c r="O87" s="709"/>
      <c r="P87" s="988"/>
      <c r="Q87" s="707"/>
      <c r="R87" s="707"/>
      <c r="S87" s="707"/>
      <c r="T87" s="707"/>
      <c r="U87" s="707"/>
    </row>
    <row r="88" spans="1:21" ht="12.75">
      <c r="A88" s="716"/>
      <c r="B88" s="705" t="s">
        <v>114</v>
      </c>
      <c r="C88" s="706">
        <f t="shared" si="7"/>
        <v>2794.5</v>
      </c>
      <c r="D88" s="754"/>
      <c r="E88" s="678"/>
      <c r="F88" s="707"/>
      <c r="G88" s="708"/>
      <c r="H88" s="707"/>
      <c r="I88" s="709"/>
      <c r="J88" s="707"/>
      <c r="K88" s="987"/>
      <c r="L88" s="678"/>
      <c r="M88" s="678"/>
      <c r="N88" s="707"/>
      <c r="O88" s="709"/>
      <c r="P88" s="988"/>
      <c r="Q88" s="707"/>
      <c r="R88" s="707"/>
      <c r="S88" s="707"/>
      <c r="T88" s="707"/>
      <c r="U88" s="707"/>
    </row>
    <row r="89" spans="1:21" ht="12.75">
      <c r="A89" s="716"/>
      <c r="B89" s="705" t="s">
        <v>115</v>
      </c>
      <c r="C89" s="706">
        <f t="shared" si="7"/>
        <v>1469.54</v>
      </c>
      <c r="D89" s="754"/>
      <c r="E89" s="678"/>
      <c r="F89" s="707"/>
      <c r="G89" s="708"/>
      <c r="H89" s="707"/>
      <c r="I89" s="709"/>
      <c r="J89" s="707"/>
      <c r="K89" s="987"/>
      <c r="L89" s="678"/>
      <c r="M89" s="678"/>
      <c r="N89" s="707"/>
      <c r="O89" s="709"/>
      <c r="P89" s="988"/>
      <c r="Q89" s="707"/>
      <c r="R89" s="707"/>
      <c r="S89" s="707"/>
      <c r="T89" s="707"/>
      <c r="U89" s="707"/>
    </row>
    <row r="90" spans="1:21" ht="12.75">
      <c r="A90" s="716"/>
      <c r="B90" s="705" t="s">
        <v>116</v>
      </c>
      <c r="C90" s="706">
        <f t="shared" si="7"/>
        <v>2204.31</v>
      </c>
      <c r="D90" s="754"/>
      <c r="E90" s="678"/>
      <c r="F90" s="707"/>
      <c r="G90" s="708"/>
      <c r="H90" s="707"/>
      <c r="I90" s="709"/>
      <c r="J90" s="707"/>
      <c r="K90" s="987"/>
      <c r="L90" s="678"/>
      <c r="M90" s="678"/>
      <c r="N90" s="707"/>
      <c r="O90" s="709"/>
      <c r="P90" s="988"/>
      <c r="Q90" s="707"/>
      <c r="R90" s="707"/>
      <c r="S90" s="707"/>
      <c r="T90" s="707"/>
      <c r="U90" s="707"/>
    </row>
    <row r="91" spans="1:21" ht="12.75">
      <c r="A91" s="716"/>
      <c r="B91" s="705" t="s">
        <v>117</v>
      </c>
      <c r="C91" s="706">
        <f t="shared" si="7"/>
        <v>2939.09</v>
      </c>
      <c r="D91" s="754"/>
      <c r="E91" s="678"/>
      <c r="F91" s="707"/>
      <c r="G91" s="708"/>
      <c r="H91" s="707"/>
      <c r="I91" s="709"/>
      <c r="J91" s="707"/>
      <c r="K91" s="987"/>
      <c r="L91" s="678"/>
      <c r="M91" s="678"/>
      <c r="N91" s="707"/>
      <c r="O91" s="709"/>
      <c r="P91" s="988"/>
      <c r="Q91" s="707"/>
      <c r="R91" s="707"/>
      <c r="S91" s="707"/>
      <c r="T91" s="707"/>
      <c r="U91" s="707"/>
    </row>
    <row r="92" spans="1:21" ht="12.75">
      <c r="A92" s="716"/>
      <c r="B92" s="705" t="s">
        <v>118</v>
      </c>
      <c r="C92" s="706">
        <f t="shared" si="7"/>
        <v>724.56</v>
      </c>
      <c r="D92" s="754"/>
      <c r="E92" s="678"/>
      <c r="F92" s="707"/>
      <c r="G92" s="708"/>
      <c r="H92" s="707"/>
      <c r="I92" s="709"/>
      <c r="J92" s="707"/>
      <c r="K92" s="987"/>
      <c r="L92" s="678"/>
      <c r="M92" s="678"/>
      <c r="N92" s="707"/>
      <c r="O92" s="709"/>
      <c r="P92" s="988"/>
      <c r="Q92" s="707"/>
      <c r="R92" s="707"/>
      <c r="S92" s="707"/>
      <c r="T92" s="707"/>
      <c r="U92" s="707"/>
    </row>
    <row r="93" spans="1:21" ht="12.75">
      <c r="A93" s="716"/>
      <c r="B93" s="705" t="s">
        <v>119</v>
      </c>
      <c r="C93" s="706">
        <f t="shared" si="7"/>
        <v>1086.84</v>
      </c>
      <c r="D93" s="754"/>
      <c r="E93" s="678"/>
      <c r="F93" s="707"/>
      <c r="G93" s="708"/>
      <c r="H93" s="707"/>
      <c r="I93" s="709"/>
      <c r="J93" s="707"/>
      <c r="K93" s="987"/>
      <c r="L93" s="678"/>
      <c r="M93" s="678"/>
      <c r="N93" s="707"/>
      <c r="O93" s="709"/>
      <c r="P93" s="988"/>
      <c r="Q93" s="707"/>
      <c r="R93" s="707"/>
      <c r="S93" s="707"/>
      <c r="T93" s="707"/>
      <c r="U93" s="707"/>
    </row>
    <row r="94" spans="1:21" ht="12.75">
      <c r="A94" s="716"/>
      <c r="B94" s="705" t="s">
        <v>120</v>
      </c>
      <c r="C94" s="706">
        <f t="shared" si="7"/>
        <v>1449.13</v>
      </c>
      <c r="D94" s="754"/>
      <c r="E94" s="678"/>
      <c r="F94" s="707"/>
      <c r="G94" s="708"/>
      <c r="H94" s="707"/>
      <c r="I94" s="709"/>
      <c r="J94" s="707"/>
      <c r="K94" s="987"/>
      <c r="L94" s="678"/>
      <c r="M94" s="678"/>
      <c r="N94" s="707"/>
      <c r="O94" s="709"/>
      <c r="P94" s="988"/>
      <c r="Q94" s="707"/>
      <c r="R94" s="707"/>
      <c r="S94" s="707"/>
      <c r="T94" s="707"/>
      <c r="U94" s="707"/>
    </row>
    <row r="95" spans="1:21" ht="12.75">
      <c r="A95" s="716"/>
      <c r="B95" s="705" t="s">
        <v>121</v>
      </c>
      <c r="C95" s="706">
        <f t="shared" si="7"/>
        <v>787.72</v>
      </c>
      <c r="D95" s="754"/>
      <c r="E95" s="678"/>
      <c r="F95" s="707"/>
      <c r="G95" s="708"/>
      <c r="H95" s="707"/>
      <c r="I95" s="709"/>
      <c r="J95" s="707"/>
      <c r="K95" s="987"/>
      <c r="L95" s="678"/>
      <c r="M95" s="678"/>
      <c r="N95" s="707"/>
      <c r="O95" s="709"/>
      <c r="P95" s="988"/>
      <c r="Q95" s="707"/>
      <c r="R95" s="707"/>
      <c r="S95" s="707"/>
      <c r="T95" s="707"/>
      <c r="U95" s="707"/>
    </row>
    <row r="96" spans="1:21" ht="12.75">
      <c r="A96" s="716"/>
      <c r="B96" s="705" t="s">
        <v>122</v>
      </c>
      <c r="C96" s="706">
        <f t="shared" si="7"/>
        <v>1181.58</v>
      </c>
      <c r="D96" s="754"/>
      <c r="E96" s="678"/>
      <c r="F96" s="707"/>
      <c r="G96" s="708"/>
      <c r="H96" s="707"/>
      <c r="I96" s="709"/>
      <c r="J96" s="707"/>
      <c r="K96" s="987"/>
      <c r="L96" s="678"/>
      <c r="M96" s="678"/>
      <c r="N96" s="707"/>
      <c r="O96" s="709"/>
      <c r="P96" s="988"/>
      <c r="Q96" s="707"/>
      <c r="R96" s="707"/>
      <c r="S96" s="707"/>
      <c r="T96" s="707"/>
      <c r="U96" s="707"/>
    </row>
    <row r="97" spans="1:21" ht="12.75">
      <c r="A97" s="716"/>
      <c r="B97" s="705" t="s">
        <v>123</v>
      </c>
      <c r="C97" s="706">
        <f t="shared" si="7"/>
        <v>1575.45</v>
      </c>
      <c r="D97" s="754"/>
      <c r="E97" s="678"/>
      <c r="F97" s="707"/>
      <c r="G97" s="708"/>
      <c r="H97" s="707"/>
      <c r="I97" s="709"/>
      <c r="J97" s="707"/>
      <c r="K97" s="987"/>
      <c r="L97" s="678"/>
      <c r="M97" s="678"/>
      <c r="N97" s="707"/>
      <c r="O97" s="709"/>
      <c r="P97" s="988"/>
      <c r="Q97" s="707"/>
      <c r="R97" s="707"/>
      <c r="S97" s="707"/>
      <c r="T97" s="707"/>
      <c r="U97" s="707"/>
    </row>
    <row r="98" spans="1:21" ht="12.75">
      <c r="A98" s="716"/>
      <c r="B98" s="705" t="s">
        <v>124</v>
      </c>
      <c r="C98" s="706">
        <f t="shared" si="7"/>
        <v>842.04</v>
      </c>
      <c r="D98" s="754"/>
      <c r="E98" s="678"/>
      <c r="F98" s="707"/>
      <c r="G98" s="750"/>
      <c r="H98" s="751"/>
      <c r="I98" s="752"/>
      <c r="J98" s="707"/>
      <c r="K98" s="987"/>
      <c r="L98" s="678"/>
      <c r="M98" s="678"/>
      <c r="N98" s="707"/>
      <c r="O98" s="709"/>
      <c r="P98" s="988"/>
      <c r="Q98" s="707"/>
      <c r="R98" s="707"/>
      <c r="S98" s="707"/>
      <c r="T98" s="707"/>
      <c r="U98" s="707"/>
    </row>
    <row r="99" spans="1:21" ht="12.75">
      <c r="A99" s="716"/>
      <c r="B99" s="705" t="s">
        <v>125</v>
      </c>
      <c r="C99" s="706">
        <f t="shared" si="7"/>
        <v>1263.06</v>
      </c>
      <c r="D99" s="754"/>
      <c r="E99" s="678"/>
      <c r="F99" s="707"/>
      <c r="G99" s="708"/>
      <c r="H99" s="707"/>
      <c r="I99" s="709"/>
      <c r="J99" s="707"/>
      <c r="K99" s="987"/>
      <c r="L99" s="678"/>
      <c r="M99" s="678"/>
      <c r="N99" s="707"/>
      <c r="O99" s="709"/>
      <c r="P99" s="988"/>
      <c r="Q99" s="707"/>
      <c r="R99" s="707"/>
      <c r="S99" s="707"/>
      <c r="T99" s="707"/>
      <c r="U99" s="707"/>
    </row>
    <row r="100" spans="1:21" ht="12.75">
      <c r="A100" s="716"/>
      <c r="B100" s="705" t="s">
        <v>126</v>
      </c>
      <c r="C100" s="706">
        <f t="shared" si="7"/>
        <v>1684.09</v>
      </c>
      <c r="D100" s="754"/>
      <c r="E100" s="678"/>
      <c r="F100" s="707"/>
      <c r="G100" s="989"/>
      <c r="H100" s="990"/>
      <c r="I100" s="709"/>
      <c r="J100" s="707"/>
      <c r="K100" s="987"/>
      <c r="L100" s="678"/>
      <c r="M100" s="678"/>
      <c r="N100" s="707"/>
      <c r="O100" s="709"/>
      <c r="P100" s="988"/>
      <c r="Q100" s="707"/>
      <c r="R100" s="707"/>
      <c r="S100" s="707"/>
      <c r="T100" s="707"/>
      <c r="U100" s="707"/>
    </row>
    <row r="101" spans="1:21" ht="12.75">
      <c r="A101" s="716"/>
      <c r="B101" s="705" t="s">
        <v>128</v>
      </c>
      <c r="C101" s="706">
        <f t="shared" si="7"/>
        <v>887.48</v>
      </c>
      <c r="D101" s="754"/>
      <c r="E101" s="678"/>
      <c r="F101" s="707"/>
      <c r="G101" s="989"/>
      <c r="H101" s="990"/>
      <c r="I101" s="709"/>
      <c r="J101" s="707"/>
      <c r="K101" s="987"/>
      <c r="L101" s="678"/>
      <c r="M101" s="678"/>
      <c r="N101" s="707"/>
      <c r="O101" s="709"/>
      <c r="P101" s="988"/>
      <c r="Q101" s="707"/>
      <c r="R101" s="707"/>
      <c r="S101" s="707"/>
      <c r="T101" s="707"/>
      <c r="U101" s="707"/>
    </row>
    <row r="102" spans="1:21" ht="12.75">
      <c r="A102" s="716"/>
      <c r="B102" s="705" t="s">
        <v>129</v>
      </c>
      <c r="C102" s="706">
        <f t="shared" si="7"/>
        <v>1331.22</v>
      </c>
      <c r="D102" s="754"/>
      <c r="E102" s="678"/>
      <c r="F102" s="707"/>
      <c r="G102" s="991"/>
      <c r="H102" s="992"/>
      <c r="I102" s="993"/>
      <c r="J102" s="707"/>
      <c r="K102" s="987"/>
      <c r="L102" s="678"/>
      <c r="M102" s="678"/>
      <c r="N102" s="707"/>
      <c r="O102" s="709"/>
      <c r="P102" s="988"/>
      <c r="Q102" s="707"/>
      <c r="R102" s="707"/>
      <c r="S102" s="707"/>
      <c r="T102" s="707"/>
      <c r="U102" s="707"/>
    </row>
    <row r="103" spans="1:21" ht="13.5" thickBot="1">
      <c r="A103" s="716"/>
      <c r="B103" s="753" t="s">
        <v>130</v>
      </c>
      <c r="C103" s="706">
        <f t="shared" si="7"/>
        <v>1774.96</v>
      </c>
      <c r="D103" s="754"/>
      <c r="E103" s="678"/>
      <c r="F103" s="707"/>
      <c r="G103" s="989"/>
      <c r="H103" s="990"/>
      <c r="I103" s="709"/>
      <c r="J103" s="707"/>
      <c r="K103" s="987"/>
      <c r="L103" s="678"/>
      <c r="M103" s="678"/>
      <c r="N103" s="707"/>
      <c r="O103" s="709"/>
      <c r="P103" s="988"/>
      <c r="Q103" s="707"/>
      <c r="R103" s="707"/>
      <c r="S103" s="707"/>
      <c r="T103" s="707"/>
      <c r="U103" s="707"/>
    </row>
    <row r="104" spans="1:21" ht="12.75">
      <c r="A104" s="716"/>
      <c r="B104" s="705" t="s">
        <v>131</v>
      </c>
      <c r="C104" s="706">
        <f t="shared" si="7"/>
        <v>3051.63</v>
      </c>
      <c r="D104" s="754"/>
      <c r="E104" s="678"/>
      <c r="F104" s="707"/>
      <c r="G104" s="989"/>
      <c r="H104" s="990"/>
      <c r="I104" s="709"/>
      <c r="J104" s="707"/>
      <c r="K104" s="987"/>
      <c r="L104" s="678"/>
      <c r="M104" s="678"/>
      <c r="N104" s="707"/>
      <c r="O104" s="709"/>
      <c r="P104" s="988"/>
      <c r="Q104" s="707"/>
      <c r="R104" s="707"/>
      <c r="S104" s="707"/>
      <c r="T104" s="707"/>
      <c r="U104" s="707"/>
    </row>
    <row r="105" spans="1:21" ht="12.75">
      <c r="A105" s="716"/>
      <c r="B105" s="705" t="s">
        <v>132</v>
      </c>
      <c r="C105" s="706">
        <f t="shared" si="7"/>
        <v>5666.46</v>
      </c>
      <c r="D105" s="754"/>
      <c r="E105" s="678"/>
      <c r="F105" s="707"/>
      <c r="G105" s="989"/>
      <c r="H105" s="990"/>
      <c r="I105" s="709"/>
      <c r="J105" s="707"/>
      <c r="K105" s="987"/>
      <c r="L105" s="678"/>
      <c r="M105" s="678"/>
      <c r="N105" s="707"/>
      <c r="O105" s="709"/>
      <c r="P105" s="988"/>
      <c r="Q105" s="707"/>
      <c r="R105" s="707"/>
      <c r="S105" s="707"/>
      <c r="T105" s="707"/>
      <c r="U105" s="707"/>
    </row>
    <row r="106" spans="1:21" ht="13.5" thickBot="1">
      <c r="A106" s="716"/>
      <c r="B106" s="753" t="s">
        <v>133</v>
      </c>
      <c r="C106" s="706">
        <f t="shared" si="7"/>
        <v>1876.73</v>
      </c>
      <c r="D106" s="754"/>
      <c r="E106" s="678"/>
      <c r="F106" s="707"/>
      <c r="G106" s="989"/>
      <c r="H106" s="990"/>
      <c r="I106" s="709"/>
      <c r="J106" s="707"/>
      <c r="K106" s="987"/>
      <c r="L106" s="678"/>
      <c r="M106" s="678"/>
      <c r="N106" s="707"/>
      <c r="O106" s="709"/>
      <c r="P106" s="988"/>
      <c r="Q106" s="707"/>
      <c r="R106" s="707"/>
      <c r="S106" s="707"/>
      <c r="T106" s="707"/>
      <c r="U106" s="707"/>
    </row>
    <row r="107" spans="1:21" ht="12.75">
      <c r="A107" s="716"/>
      <c r="B107" s="705" t="s">
        <v>1421</v>
      </c>
      <c r="C107" s="706">
        <f>K11</f>
        <v>2975.84</v>
      </c>
      <c r="D107" s="678"/>
      <c r="E107" s="678"/>
      <c r="F107" s="707"/>
      <c r="G107" s="989"/>
      <c r="H107" s="990"/>
      <c r="I107" s="709"/>
      <c r="J107" s="707"/>
      <c r="K107" s="987"/>
      <c r="L107" s="678"/>
      <c r="M107" s="678"/>
      <c r="N107" s="707"/>
      <c r="O107" s="709"/>
      <c r="P107" s="988"/>
      <c r="Q107" s="707"/>
      <c r="R107" s="707"/>
      <c r="S107" s="707"/>
      <c r="T107" s="707"/>
      <c r="U107" s="707"/>
    </row>
    <row r="108" spans="1:21" ht="12.75">
      <c r="A108" s="716"/>
      <c r="B108" s="705" t="s">
        <v>1422</v>
      </c>
      <c r="C108" s="706">
        <f aca="true" t="shared" si="8" ref="C108:C114">K12</f>
        <v>4178.54</v>
      </c>
      <c r="D108" s="678"/>
      <c r="E108" s="678"/>
      <c r="F108" s="707"/>
      <c r="G108" s="989"/>
      <c r="H108" s="990"/>
      <c r="I108" s="709"/>
      <c r="J108" s="707"/>
      <c r="K108" s="987"/>
      <c r="L108" s="678"/>
      <c r="M108" s="678"/>
      <c r="N108" s="707"/>
      <c r="O108" s="709"/>
      <c r="P108" s="988"/>
      <c r="Q108" s="707"/>
      <c r="R108" s="707"/>
      <c r="S108" s="707"/>
      <c r="T108" s="707"/>
      <c r="U108" s="707"/>
    </row>
    <row r="109" spans="1:21" ht="12.75">
      <c r="A109" s="716"/>
      <c r="B109" s="705" t="s">
        <v>1423</v>
      </c>
      <c r="C109" s="706">
        <f t="shared" si="8"/>
        <v>5485.65</v>
      </c>
      <c r="D109" s="672"/>
      <c r="E109" s="678"/>
      <c r="F109" s="707"/>
      <c r="G109" s="708"/>
      <c r="H109" s="707"/>
      <c r="I109" s="709"/>
      <c r="J109" s="707"/>
      <c r="K109" s="987"/>
      <c r="L109" s="678"/>
      <c r="M109" s="678"/>
      <c r="N109" s="707"/>
      <c r="O109" s="709"/>
      <c r="P109" s="988"/>
      <c r="Q109" s="707"/>
      <c r="R109" s="707"/>
      <c r="S109" s="707"/>
      <c r="T109" s="707"/>
      <c r="U109" s="707"/>
    </row>
    <row r="110" spans="1:21" ht="12.75">
      <c r="A110" s="671"/>
      <c r="B110" s="705" t="s">
        <v>1424</v>
      </c>
      <c r="C110" s="706">
        <f t="shared" si="8"/>
        <v>6525.31</v>
      </c>
      <c r="D110" s="672"/>
      <c r="E110" s="678"/>
      <c r="F110" s="707"/>
      <c r="G110" s="708"/>
      <c r="H110" s="707"/>
      <c r="I110" s="709"/>
      <c r="J110" s="707"/>
      <c r="K110" s="987"/>
      <c r="L110" s="678"/>
      <c r="M110" s="678"/>
      <c r="N110" s="707"/>
      <c r="O110" s="709"/>
      <c r="P110" s="988"/>
      <c r="Q110" s="707"/>
      <c r="R110" s="707"/>
      <c r="S110" s="707"/>
      <c r="T110" s="707"/>
      <c r="U110" s="707"/>
    </row>
    <row r="111" spans="1:21" ht="12.75">
      <c r="A111" s="671"/>
      <c r="B111" s="705" t="s">
        <v>1425</v>
      </c>
      <c r="C111" s="706">
        <f t="shared" si="8"/>
        <v>4602.06</v>
      </c>
      <c r="D111" s="672"/>
      <c r="E111" s="678"/>
      <c r="F111" s="707"/>
      <c r="G111" s="708"/>
      <c r="H111" s="707"/>
      <c r="I111" s="709"/>
      <c r="J111" s="707"/>
      <c r="K111" s="987"/>
      <c r="L111" s="678"/>
      <c r="M111" s="678"/>
      <c r="N111" s="707"/>
      <c r="O111" s="709"/>
      <c r="P111" s="988"/>
      <c r="Q111" s="707"/>
      <c r="R111" s="707"/>
      <c r="S111" s="707"/>
      <c r="T111" s="707"/>
      <c r="U111" s="707"/>
    </row>
    <row r="112" spans="1:21" ht="12.75">
      <c r="A112" s="671"/>
      <c r="B112" s="705" t="s">
        <v>1713</v>
      </c>
      <c r="C112" s="706">
        <f t="shared" si="8"/>
        <v>4896.91</v>
      </c>
      <c r="D112" s="672"/>
      <c r="E112" s="678"/>
      <c r="F112" s="707"/>
      <c r="G112" s="708"/>
      <c r="H112" s="707"/>
      <c r="I112" s="709"/>
      <c r="J112" s="707"/>
      <c r="K112" s="987"/>
      <c r="L112" s="678"/>
      <c r="M112" s="678"/>
      <c r="N112" s="707"/>
      <c r="O112" s="709"/>
      <c r="P112" s="988"/>
      <c r="Q112" s="707"/>
      <c r="R112" s="707"/>
      <c r="S112" s="707"/>
      <c r="T112" s="707"/>
      <c r="U112" s="707"/>
    </row>
    <row r="113" spans="1:21" ht="12.75">
      <c r="A113" s="671"/>
      <c r="B113" s="705" t="s">
        <v>1714</v>
      </c>
      <c r="C113" s="706">
        <f t="shared" si="8"/>
        <v>5721.06</v>
      </c>
      <c r="D113" s="672"/>
      <c r="E113" s="678"/>
      <c r="F113" s="707"/>
      <c r="G113" s="708"/>
      <c r="H113" s="707"/>
      <c r="I113" s="709"/>
      <c r="J113" s="707"/>
      <c r="K113" s="987"/>
      <c r="L113" s="678"/>
      <c r="M113" s="678"/>
      <c r="N113" s="707"/>
      <c r="O113" s="709"/>
      <c r="P113" s="988"/>
      <c r="Q113" s="707"/>
      <c r="R113" s="707"/>
      <c r="S113" s="707"/>
      <c r="T113" s="707"/>
      <c r="U113" s="707"/>
    </row>
    <row r="114" spans="1:21" ht="12.75">
      <c r="A114" s="671"/>
      <c r="B114" s="705" t="s">
        <v>1715</v>
      </c>
      <c r="C114" s="706">
        <f t="shared" si="8"/>
        <v>6762.6</v>
      </c>
      <c r="D114" s="672"/>
      <c r="E114" s="678"/>
      <c r="F114" s="707"/>
      <c r="G114" s="708"/>
      <c r="H114" s="707"/>
      <c r="I114" s="709"/>
      <c r="J114" s="707"/>
      <c r="K114" s="987"/>
      <c r="L114" s="678"/>
      <c r="M114" s="678"/>
      <c r="N114" s="707"/>
      <c r="O114" s="709"/>
      <c r="P114" s="988"/>
      <c r="Q114" s="707"/>
      <c r="R114" s="707"/>
      <c r="S114" s="707"/>
      <c r="T114" s="707"/>
      <c r="U114" s="707"/>
    </row>
    <row r="115" spans="1:21" ht="12.75">
      <c r="A115" s="671"/>
      <c r="B115" s="705" t="s">
        <v>1733</v>
      </c>
      <c r="C115" s="706">
        <f>K38</f>
        <v>2372.8</v>
      </c>
      <c r="D115" s="755"/>
      <c r="E115" s="678"/>
      <c r="F115" s="707"/>
      <c r="G115" s="708"/>
      <c r="H115" s="707"/>
      <c r="I115" s="709"/>
      <c r="J115" s="707"/>
      <c r="K115" s="987"/>
      <c r="L115" s="678"/>
      <c r="M115" s="678"/>
      <c r="N115" s="707"/>
      <c r="O115" s="709"/>
      <c r="P115" s="988"/>
      <c r="Q115" s="707"/>
      <c r="R115" s="707"/>
      <c r="S115" s="707"/>
      <c r="T115" s="707"/>
      <c r="U115" s="707"/>
    </row>
    <row r="116" spans="1:21" ht="12.75">
      <c r="A116" s="671"/>
      <c r="B116" s="705" t="s">
        <v>1734</v>
      </c>
      <c r="C116" s="706">
        <f>K39</f>
        <v>2666.6</v>
      </c>
      <c r="D116" s="755"/>
      <c r="E116" s="678"/>
      <c r="F116" s="707"/>
      <c r="G116" s="708"/>
      <c r="H116" s="707"/>
      <c r="I116" s="709"/>
      <c r="J116" s="707"/>
      <c r="K116" s="987"/>
      <c r="L116" s="678"/>
      <c r="M116" s="678"/>
      <c r="N116" s="707"/>
      <c r="O116" s="709"/>
      <c r="P116" s="988"/>
      <c r="Q116" s="707"/>
      <c r="R116" s="707"/>
      <c r="S116" s="707"/>
      <c r="T116" s="707"/>
      <c r="U116" s="707"/>
    </row>
    <row r="117" spans="1:21" ht="12.75">
      <c r="A117" s="671"/>
      <c r="B117" s="705" t="s">
        <v>1735</v>
      </c>
      <c r="C117" s="706">
        <f>K40</f>
        <v>3036.93</v>
      </c>
      <c r="D117" s="755"/>
      <c r="E117" s="678"/>
      <c r="F117" s="707"/>
      <c r="G117" s="708"/>
      <c r="H117" s="707"/>
      <c r="I117" s="709"/>
      <c r="J117" s="707"/>
      <c r="K117" s="987"/>
      <c r="L117" s="678"/>
      <c r="M117" s="678"/>
      <c r="N117" s="707"/>
      <c r="O117" s="709"/>
      <c r="P117" s="988"/>
      <c r="Q117" s="707"/>
      <c r="R117" s="707"/>
      <c r="S117" s="707"/>
      <c r="T117" s="707"/>
      <c r="U117" s="707"/>
    </row>
    <row r="118" spans="1:21" ht="12.75">
      <c r="A118" s="671"/>
      <c r="B118" s="705" t="s">
        <v>1736</v>
      </c>
      <c r="C118" s="706">
        <f>K41</f>
        <v>3853.63</v>
      </c>
      <c r="D118" s="755"/>
      <c r="E118" s="678"/>
      <c r="F118" s="707"/>
      <c r="G118" s="708"/>
      <c r="H118" s="707"/>
      <c r="I118" s="709"/>
      <c r="J118" s="707"/>
      <c r="K118" s="987"/>
      <c r="L118" s="678"/>
      <c r="M118" s="678"/>
      <c r="N118" s="707"/>
      <c r="O118" s="709"/>
      <c r="P118" s="988"/>
      <c r="Q118" s="707"/>
      <c r="R118" s="707"/>
      <c r="S118" s="707"/>
      <c r="T118" s="707"/>
      <c r="U118" s="707"/>
    </row>
    <row r="119" spans="1:21" ht="12.75">
      <c r="A119" s="703"/>
      <c r="B119" s="705" t="s">
        <v>1737</v>
      </c>
      <c r="C119" s="706">
        <f>K62</f>
        <v>9436.98</v>
      </c>
      <c r="D119" s="755"/>
      <c r="E119" s="678"/>
      <c r="F119" s="707"/>
      <c r="G119" s="708"/>
      <c r="H119" s="707"/>
      <c r="I119" s="709"/>
      <c r="J119" s="707"/>
      <c r="K119" s="987"/>
      <c r="L119" s="678"/>
      <c r="M119" s="678"/>
      <c r="N119" s="707"/>
      <c r="O119" s="709"/>
      <c r="P119" s="988"/>
      <c r="Q119" s="707"/>
      <c r="R119" s="707"/>
      <c r="S119" s="707"/>
      <c r="T119" s="707"/>
      <c r="U119" s="707"/>
    </row>
    <row r="120" spans="1:21" ht="12.75">
      <c r="A120" s="703"/>
      <c r="B120" s="705" t="s">
        <v>1738</v>
      </c>
      <c r="C120" s="706">
        <f aca="true" t="shared" si="9" ref="C120:C126">K63</f>
        <v>4368.3</v>
      </c>
      <c r="D120" s="755"/>
      <c r="E120" s="707"/>
      <c r="F120" s="678"/>
      <c r="G120" s="987"/>
      <c r="H120" s="678"/>
      <c r="I120" s="709"/>
      <c r="J120" s="707"/>
      <c r="K120" s="987"/>
      <c r="L120" s="678"/>
      <c r="M120" s="678"/>
      <c r="N120" s="707"/>
      <c r="O120" s="709"/>
      <c r="P120" s="988"/>
      <c r="Q120" s="707"/>
      <c r="R120" s="707"/>
      <c r="S120" s="707"/>
      <c r="T120" s="707"/>
      <c r="U120" s="707"/>
    </row>
    <row r="121" spans="1:21" ht="12.75">
      <c r="A121" s="703"/>
      <c r="B121" s="705" t="s">
        <v>1739</v>
      </c>
      <c r="C121" s="706">
        <f t="shared" si="9"/>
        <v>7291.79</v>
      </c>
      <c r="D121" s="755"/>
      <c r="E121" s="707"/>
      <c r="F121" s="678"/>
      <c r="G121" s="987"/>
      <c r="H121" s="678"/>
      <c r="I121" s="709"/>
      <c r="J121" s="707"/>
      <c r="K121" s="987"/>
      <c r="L121" s="678"/>
      <c r="M121" s="678"/>
      <c r="N121" s="707"/>
      <c r="O121" s="709"/>
      <c r="P121" s="988"/>
      <c r="Q121" s="707"/>
      <c r="R121" s="707"/>
      <c r="S121" s="707"/>
      <c r="T121" s="707"/>
      <c r="U121" s="707"/>
    </row>
    <row r="122" spans="1:21" ht="12.75">
      <c r="A122" s="703"/>
      <c r="B122" s="705" t="s">
        <v>1723</v>
      </c>
      <c r="C122" s="706">
        <f t="shared" si="9"/>
        <v>4602.06</v>
      </c>
      <c r="D122" s="755"/>
      <c r="E122" s="707"/>
      <c r="F122" s="678"/>
      <c r="G122" s="987"/>
      <c r="H122" s="678"/>
      <c r="I122" s="709"/>
      <c r="J122" s="707"/>
      <c r="K122" s="987"/>
      <c r="L122" s="678"/>
      <c r="M122" s="678"/>
      <c r="N122" s="707"/>
      <c r="O122" s="709"/>
      <c r="P122" s="988"/>
      <c r="Q122" s="707"/>
      <c r="R122" s="707"/>
      <c r="S122" s="707"/>
      <c r="T122" s="707"/>
      <c r="U122" s="707"/>
    </row>
    <row r="123" spans="1:21" ht="12.75">
      <c r="A123" s="703"/>
      <c r="B123" s="705" t="s">
        <v>1724</v>
      </c>
      <c r="C123" s="706">
        <f t="shared" si="9"/>
        <v>4896.91</v>
      </c>
      <c r="D123" s="755"/>
      <c r="E123" s="707"/>
      <c r="F123" s="678"/>
      <c r="G123" s="987"/>
      <c r="H123" s="678"/>
      <c r="I123" s="709"/>
      <c r="J123" s="707"/>
      <c r="K123" s="987"/>
      <c r="L123" s="678"/>
      <c r="M123" s="678"/>
      <c r="N123" s="707"/>
      <c r="O123" s="709"/>
      <c r="P123" s="988"/>
      <c r="Q123" s="707"/>
      <c r="R123" s="707"/>
      <c r="S123" s="707"/>
      <c r="T123" s="707"/>
      <c r="U123" s="707"/>
    </row>
    <row r="124" spans="1:21" ht="12.75">
      <c r="A124" s="703"/>
      <c r="B124" s="705" t="s">
        <v>1725</v>
      </c>
      <c r="C124" s="706">
        <f t="shared" si="9"/>
        <v>5721.06</v>
      </c>
      <c r="D124" s="755"/>
      <c r="E124" s="707"/>
      <c r="F124" s="678"/>
      <c r="G124" s="987"/>
      <c r="H124" s="678"/>
      <c r="I124" s="709"/>
      <c r="J124" s="707"/>
      <c r="K124" s="987"/>
      <c r="L124" s="678"/>
      <c r="M124" s="678"/>
      <c r="N124" s="707"/>
      <c r="O124" s="709"/>
      <c r="P124" s="988"/>
      <c r="Q124" s="707"/>
      <c r="R124" s="707"/>
      <c r="S124" s="707"/>
      <c r="T124" s="707"/>
      <c r="U124" s="707"/>
    </row>
    <row r="125" spans="1:21" ht="12.75">
      <c r="A125" s="703"/>
      <c r="B125" s="705" t="s">
        <v>1740</v>
      </c>
      <c r="C125" s="706">
        <f t="shared" si="9"/>
        <v>6762.6</v>
      </c>
      <c r="D125" s="755"/>
      <c r="E125" s="707"/>
      <c r="F125" s="678"/>
      <c r="G125" s="987"/>
      <c r="H125" s="678"/>
      <c r="I125" s="709"/>
      <c r="J125" s="707"/>
      <c r="K125" s="987"/>
      <c r="L125" s="678"/>
      <c r="M125" s="678"/>
      <c r="N125" s="707"/>
      <c r="O125" s="709"/>
      <c r="P125" s="988"/>
      <c r="Q125" s="707"/>
      <c r="R125" s="707"/>
      <c r="S125" s="707"/>
      <c r="T125" s="707"/>
      <c r="U125" s="707"/>
    </row>
    <row r="126" spans="1:21" ht="12.75">
      <c r="A126" s="703"/>
      <c r="B126" s="705" t="s">
        <v>1741</v>
      </c>
      <c r="C126" s="706">
        <f t="shared" si="9"/>
        <v>9436.98</v>
      </c>
      <c r="D126" s="755"/>
      <c r="E126" s="707"/>
      <c r="F126" s="678"/>
      <c r="G126" s="987"/>
      <c r="H126" s="678"/>
      <c r="I126" s="709"/>
      <c r="J126" s="707"/>
      <c r="K126" s="987"/>
      <c r="L126" s="678"/>
      <c r="M126" s="678"/>
      <c r="N126" s="707"/>
      <c r="O126" s="709"/>
      <c r="P126" s="988"/>
      <c r="Q126" s="707"/>
      <c r="R126" s="707"/>
      <c r="S126" s="707"/>
      <c r="T126" s="707"/>
      <c r="U126" s="707"/>
    </row>
    <row r="127" spans="1:21" ht="12.75">
      <c r="A127" s="703"/>
      <c r="B127" s="755"/>
      <c r="C127" s="755"/>
      <c r="D127" s="755"/>
      <c r="E127" s="707"/>
      <c r="F127" s="678"/>
      <c r="G127" s="987"/>
      <c r="H127" s="678"/>
      <c r="I127" s="709"/>
      <c r="J127" s="707"/>
      <c r="K127" s="987"/>
      <c r="L127" s="678"/>
      <c r="M127" s="678"/>
      <c r="N127" s="707"/>
      <c r="O127" s="709"/>
      <c r="P127" s="988"/>
      <c r="Q127" s="707"/>
      <c r="R127" s="707"/>
      <c r="S127" s="707"/>
      <c r="T127" s="707"/>
      <c r="U127" s="707"/>
    </row>
    <row r="128" spans="1:21" ht="12.75">
      <c r="A128" s="703"/>
      <c r="B128" s="755"/>
      <c r="C128" s="755"/>
      <c r="D128" s="755"/>
      <c r="E128" s="707"/>
      <c r="F128" s="678"/>
      <c r="G128" s="987"/>
      <c r="H128" s="678"/>
      <c r="I128" s="709"/>
      <c r="J128" s="707"/>
      <c r="K128" s="987"/>
      <c r="L128" s="678"/>
      <c r="M128" s="678"/>
      <c r="N128" s="707"/>
      <c r="O128" s="709"/>
      <c r="P128" s="988"/>
      <c r="Q128" s="707"/>
      <c r="R128" s="707"/>
      <c r="S128" s="707"/>
      <c r="T128" s="707"/>
      <c r="U128" s="707"/>
    </row>
    <row r="129" spans="1:21" ht="12.75">
      <c r="A129" s="703"/>
      <c r="B129" s="755"/>
      <c r="C129" s="755"/>
      <c r="D129" s="755"/>
      <c r="E129" s="707"/>
      <c r="F129" s="678"/>
      <c r="G129" s="987"/>
      <c r="H129" s="678"/>
      <c r="I129" s="709"/>
      <c r="J129" s="707"/>
      <c r="K129" s="987"/>
      <c r="L129" s="678"/>
      <c r="M129" s="678"/>
      <c r="N129" s="707"/>
      <c r="O129" s="709"/>
      <c r="P129" s="988"/>
      <c r="Q129" s="707"/>
      <c r="R129" s="707"/>
      <c r="S129" s="707"/>
      <c r="T129" s="707"/>
      <c r="U129" s="707"/>
    </row>
    <row r="130" spans="1:21" ht="12.75">
      <c r="A130" s="703"/>
      <c r="B130" s="755"/>
      <c r="C130" s="755"/>
      <c r="D130" s="755"/>
      <c r="E130" s="707"/>
      <c r="F130" s="678"/>
      <c r="G130" s="987"/>
      <c r="H130" s="678"/>
      <c r="I130" s="709"/>
      <c r="J130" s="707"/>
      <c r="K130" s="987"/>
      <c r="L130" s="678"/>
      <c r="M130" s="678"/>
      <c r="N130" s="707"/>
      <c r="O130" s="709"/>
      <c r="P130" s="988"/>
      <c r="Q130" s="707"/>
      <c r="R130" s="707"/>
      <c r="S130" s="707"/>
      <c r="T130" s="707"/>
      <c r="U130" s="707"/>
    </row>
    <row r="131" spans="1:21" ht="12.75">
      <c r="A131" s="703"/>
      <c r="B131" s="755"/>
      <c r="C131" s="755"/>
      <c r="D131" s="755"/>
      <c r="E131" s="707"/>
      <c r="F131" s="678"/>
      <c r="G131" s="987"/>
      <c r="H131" s="678"/>
      <c r="I131" s="709"/>
      <c r="J131" s="707"/>
      <c r="K131" s="987"/>
      <c r="L131" s="678"/>
      <c r="M131" s="678"/>
      <c r="N131" s="707"/>
      <c r="O131" s="709"/>
      <c r="P131" s="988"/>
      <c r="Q131" s="707"/>
      <c r="R131" s="707"/>
      <c r="S131" s="707"/>
      <c r="T131" s="707"/>
      <c r="U131" s="707"/>
    </row>
    <row r="132" spans="1:21" ht="12.75">
      <c r="A132" s="703"/>
      <c r="B132" s="755"/>
      <c r="C132" s="755"/>
      <c r="D132" s="755"/>
      <c r="E132" s="707"/>
      <c r="F132" s="678"/>
      <c r="G132" s="987"/>
      <c r="H132" s="678"/>
      <c r="I132" s="709"/>
      <c r="J132" s="707"/>
      <c r="K132" s="987"/>
      <c r="L132" s="678"/>
      <c r="M132" s="678"/>
      <c r="N132" s="707"/>
      <c r="O132" s="709"/>
      <c r="P132" s="988"/>
      <c r="Q132" s="707"/>
      <c r="R132" s="707"/>
      <c r="S132" s="707"/>
      <c r="T132" s="707"/>
      <c r="U132" s="707"/>
    </row>
    <row r="133" spans="1:21" ht="12.75">
      <c r="A133" s="703"/>
      <c r="B133" s="755"/>
      <c r="C133" s="755"/>
      <c r="D133" s="755"/>
      <c r="E133" s="707"/>
      <c r="F133" s="678"/>
      <c r="G133" s="987"/>
      <c r="H133" s="678"/>
      <c r="I133" s="709"/>
      <c r="J133" s="707"/>
      <c r="K133" s="987"/>
      <c r="L133" s="678"/>
      <c r="M133" s="678"/>
      <c r="N133" s="707"/>
      <c r="O133" s="709"/>
      <c r="P133" s="988"/>
      <c r="Q133" s="707"/>
      <c r="R133" s="707"/>
      <c r="S133" s="707"/>
      <c r="T133" s="707"/>
      <c r="U133" s="707"/>
    </row>
    <row r="134" spans="1:21" ht="12.75">
      <c r="A134" s="703"/>
      <c r="B134" s="755"/>
      <c r="C134" s="755"/>
      <c r="D134" s="755"/>
      <c r="E134" s="707"/>
      <c r="F134" s="678"/>
      <c r="G134" s="987"/>
      <c r="H134" s="678"/>
      <c r="I134" s="709"/>
      <c r="J134" s="707"/>
      <c r="K134" s="987"/>
      <c r="L134" s="678"/>
      <c r="M134" s="678"/>
      <c r="N134" s="707"/>
      <c r="O134" s="709"/>
      <c r="P134" s="988"/>
      <c r="Q134" s="707"/>
      <c r="R134" s="707"/>
      <c r="S134" s="707"/>
      <c r="T134" s="707"/>
      <c r="U134" s="707"/>
    </row>
    <row r="135" spans="1:21" ht="12.75">
      <c r="A135" s="703"/>
      <c r="B135" s="755"/>
      <c r="C135" s="755"/>
      <c r="D135" s="755"/>
      <c r="E135" s="707"/>
      <c r="F135" s="678"/>
      <c r="G135" s="987"/>
      <c r="H135" s="678"/>
      <c r="I135" s="709"/>
      <c r="J135" s="707"/>
      <c r="K135" s="987"/>
      <c r="L135" s="678"/>
      <c r="M135" s="678"/>
      <c r="N135" s="707"/>
      <c r="O135" s="709"/>
      <c r="P135" s="988"/>
      <c r="Q135" s="707"/>
      <c r="R135" s="707"/>
      <c r="S135" s="707"/>
      <c r="T135" s="707"/>
      <c r="U135" s="707"/>
    </row>
    <row r="136" spans="5:17" ht="12.75">
      <c r="E136" s="707"/>
      <c r="F136" s="678"/>
      <c r="G136" s="987"/>
      <c r="H136" s="678"/>
      <c r="I136" s="709"/>
      <c r="J136" s="707"/>
      <c r="K136" s="987"/>
      <c r="L136" s="678"/>
      <c r="M136" s="678"/>
      <c r="N136" s="707"/>
      <c r="O136" s="709"/>
      <c r="P136" s="988"/>
      <c r="Q136" s="707"/>
    </row>
  </sheetData>
  <sheetProtection/>
  <mergeCells count="74">
    <mergeCell ref="E3:F3"/>
    <mergeCell ref="E4:F4"/>
    <mergeCell ref="E5:F5"/>
    <mergeCell ref="E6:F6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G11:G14"/>
    <mergeCell ref="I11:I14"/>
    <mergeCell ref="L11:L18"/>
    <mergeCell ref="O11:O13"/>
    <mergeCell ref="O14:O16"/>
    <mergeCell ref="G15:G18"/>
    <mergeCell ref="I15:I18"/>
    <mergeCell ref="O17:O19"/>
    <mergeCell ref="G20:G23"/>
    <mergeCell ref="I20:I23"/>
    <mergeCell ref="L20:L27"/>
    <mergeCell ref="O20:O22"/>
    <mergeCell ref="O23:O25"/>
    <mergeCell ref="G24:G27"/>
    <mergeCell ref="I24:I27"/>
    <mergeCell ref="O26:O28"/>
    <mergeCell ref="G29:G32"/>
    <mergeCell ref="I29:I32"/>
    <mergeCell ref="L29:L36"/>
    <mergeCell ref="O29:O31"/>
    <mergeCell ref="O32:O34"/>
    <mergeCell ref="G33:G36"/>
    <mergeCell ref="I33:I36"/>
    <mergeCell ref="O35:O37"/>
    <mergeCell ref="G38:G41"/>
    <mergeCell ref="I38:I41"/>
    <mergeCell ref="L38:L41"/>
    <mergeCell ref="O38:O40"/>
    <mergeCell ref="O41:O43"/>
    <mergeCell ref="G42:G45"/>
    <mergeCell ref="I42:I45"/>
    <mergeCell ref="L42:L45"/>
    <mergeCell ref="O44:O46"/>
    <mergeCell ref="G46:G49"/>
    <mergeCell ref="I46:I49"/>
    <mergeCell ref="L46:L49"/>
    <mergeCell ref="G50:G53"/>
    <mergeCell ref="I50:I53"/>
    <mergeCell ref="L50:L53"/>
    <mergeCell ref="O52:P52"/>
    <mergeCell ref="O53:P53"/>
    <mergeCell ref="I54:I57"/>
    <mergeCell ref="L54:L57"/>
    <mergeCell ref="N54:Q55"/>
    <mergeCell ref="O56:P56"/>
    <mergeCell ref="N57:Q59"/>
    <mergeCell ref="G58:G61"/>
    <mergeCell ref="I58:I61"/>
    <mergeCell ref="L58:L61"/>
    <mergeCell ref="N62:Q62"/>
    <mergeCell ref="G65:G69"/>
    <mergeCell ref="I65:I69"/>
    <mergeCell ref="L65:L69"/>
    <mergeCell ref="P3:Q3"/>
    <mergeCell ref="P4:Q4"/>
    <mergeCell ref="G5:O5"/>
    <mergeCell ref="G4:O4"/>
    <mergeCell ref="G3:O3"/>
    <mergeCell ref="G54:G57"/>
  </mergeCells>
  <printOptions horizontalCentered="1"/>
  <pageMargins left="0.5511811023622047" right="0.2755905511811024" top="0.4330708661417323" bottom="0.35433070866141736" header="0.31496062992125984" footer="0.1968503937007874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X130"/>
  <sheetViews>
    <sheetView zoomScale="90" zoomScaleNormal="90" zoomScalePageLayoutView="0" workbookViewId="0" topLeftCell="I1">
      <selection activeCell="K10" sqref="K10:L23"/>
    </sheetView>
  </sheetViews>
  <sheetFormatPr defaultColWidth="9.140625" defaultRowHeight="12.75"/>
  <cols>
    <col min="1" max="1" width="9.140625" style="31" customWidth="1"/>
    <col min="2" max="2" width="6.140625" style="31" hidden="1" customWidth="1"/>
    <col min="3" max="3" width="7.8515625" style="31" hidden="1" customWidth="1"/>
    <col min="4" max="4" width="4.421875" style="31" hidden="1" customWidth="1"/>
    <col min="5" max="5" width="8.7109375" style="31" customWidth="1"/>
    <col min="6" max="6" width="9.28125" style="79" customWidth="1"/>
    <col min="7" max="7" width="30.7109375" style="31" customWidth="1"/>
    <col min="8" max="8" width="13.140625" style="31" customWidth="1"/>
    <col min="9" max="9" width="8.7109375" style="31" customWidth="1"/>
    <col min="10" max="10" width="10.28125" style="31" customWidth="1"/>
    <col min="11" max="11" width="10.00390625" style="31" hidden="1" customWidth="1"/>
    <col min="12" max="12" width="9.421875" style="31" hidden="1" customWidth="1"/>
    <col min="13" max="13" width="2.00390625" style="31" customWidth="1"/>
    <col min="14" max="14" width="8.7109375" style="31" customWidth="1"/>
    <col min="15" max="15" width="9.140625" style="31" customWidth="1"/>
    <col min="16" max="16" width="30.7109375" style="31" customWidth="1"/>
    <col min="17" max="17" width="13.00390625" style="31" customWidth="1"/>
    <col min="18" max="18" width="8.7109375" style="31" customWidth="1"/>
    <col min="19" max="19" width="3.140625" style="31" customWidth="1"/>
    <col min="20" max="16384" width="9.140625" style="31" customWidth="1"/>
  </cols>
  <sheetData>
    <row r="2" spans="5:24" ht="15">
      <c r="E2" s="117"/>
      <c r="F2" s="147"/>
      <c r="G2" s="118"/>
      <c r="H2" s="118"/>
      <c r="I2" s="119"/>
      <c r="N2" s="117"/>
      <c r="O2" s="118"/>
      <c r="P2" s="118"/>
      <c r="Q2" s="118"/>
      <c r="R2" s="119"/>
      <c r="U2" s="126"/>
      <c r="V2" s="126"/>
      <c r="W2" s="126"/>
      <c r="X2" s="126"/>
    </row>
    <row r="3" spans="5:18" ht="12.75" customHeight="1">
      <c r="E3" s="1216" t="s">
        <v>274</v>
      </c>
      <c r="F3" s="1193"/>
      <c r="G3" s="90" t="s">
        <v>606</v>
      </c>
      <c r="H3" s="1193" t="s">
        <v>605</v>
      </c>
      <c r="I3" s="1214"/>
      <c r="N3" s="1216" t="s">
        <v>1040</v>
      </c>
      <c r="O3" s="1193"/>
      <c r="P3" s="90" t="s">
        <v>623</v>
      </c>
      <c r="Q3" s="1193" t="s">
        <v>605</v>
      </c>
      <c r="R3" s="1214"/>
    </row>
    <row r="4" spans="5:18" ht="15">
      <c r="E4" s="120"/>
      <c r="F4" s="98"/>
      <c r="G4" s="1193" t="s">
        <v>620</v>
      </c>
      <c r="H4" s="1264">
        <v>38565</v>
      </c>
      <c r="I4" s="1265"/>
      <c r="N4" s="120"/>
      <c r="O4" s="121"/>
      <c r="P4" s="1555" t="s">
        <v>622</v>
      </c>
      <c r="Q4" s="1264">
        <v>38626</v>
      </c>
      <c r="R4" s="1265"/>
    </row>
    <row r="5" spans="5:18" ht="15">
      <c r="E5" s="122"/>
      <c r="F5" s="127"/>
      <c r="G5" s="1305"/>
      <c r="H5" s="1305"/>
      <c r="I5" s="1554"/>
      <c r="N5" s="122"/>
      <c r="O5" s="123"/>
      <c r="P5" s="1556"/>
      <c r="Q5" s="1305"/>
      <c r="R5" s="1554"/>
    </row>
    <row r="6" spans="5:18" ht="12">
      <c r="E6" s="106"/>
      <c r="F6" s="149"/>
      <c r="G6" s="104"/>
      <c r="H6" s="104"/>
      <c r="I6" s="107"/>
      <c r="N6" s="106"/>
      <c r="O6" s="104"/>
      <c r="P6" s="104"/>
      <c r="Q6" s="104"/>
      <c r="R6" s="107"/>
    </row>
    <row r="7" spans="5:18" ht="12">
      <c r="E7" s="108"/>
      <c r="F7" s="131"/>
      <c r="G7" s="29"/>
      <c r="H7" s="29"/>
      <c r="I7" s="109"/>
      <c r="N7" s="108"/>
      <c r="O7" s="29"/>
      <c r="P7" s="29"/>
      <c r="Q7" s="29"/>
      <c r="R7" s="109"/>
    </row>
    <row r="8" spans="5:18" ht="12">
      <c r="E8" s="108"/>
      <c r="F8" s="131"/>
      <c r="G8" s="29"/>
      <c r="H8" s="29" t="s">
        <v>1079</v>
      </c>
      <c r="I8" s="109"/>
      <c r="N8" s="108"/>
      <c r="O8" s="29"/>
      <c r="P8" s="29"/>
      <c r="Q8" s="29"/>
      <c r="R8" s="109"/>
    </row>
    <row r="9" spans="5:18" ht="12.75" thickBot="1">
      <c r="E9" s="108"/>
      <c r="F9" s="1296" t="s">
        <v>721</v>
      </c>
      <c r="G9" s="1296" t="s">
        <v>227</v>
      </c>
      <c r="H9" s="1460" t="s">
        <v>1408</v>
      </c>
      <c r="I9" s="109"/>
      <c r="N9" s="108"/>
      <c r="O9" s="1296" t="s">
        <v>721</v>
      </c>
      <c r="P9" s="1296" t="s">
        <v>227</v>
      </c>
      <c r="Q9" s="1460" t="s">
        <v>1408</v>
      </c>
      <c r="R9" s="109"/>
    </row>
    <row r="10" spans="5:18" ht="12">
      <c r="E10" s="108"/>
      <c r="F10" s="1297"/>
      <c r="G10" s="1297"/>
      <c r="H10" s="1461"/>
      <c r="I10" s="109"/>
      <c r="K10" s="62" t="s">
        <v>1041</v>
      </c>
      <c r="L10" s="63">
        <f>TAB29_DATA_VAL</f>
        <v>38626</v>
      </c>
      <c r="N10" s="108"/>
      <c r="O10" s="1297"/>
      <c r="P10" s="1297"/>
      <c r="Q10" s="1461"/>
      <c r="R10" s="109"/>
    </row>
    <row r="11" spans="5:18" ht="12.75" thickBot="1">
      <c r="E11" s="108"/>
      <c r="F11" s="131"/>
      <c r="G11" s="112"/>
      <c r="H11" s="29"/>
      <c r="I11" s="109"/>
      <c r="K11" s="66" t="s">
        <v>720</v>
      </c>
      <c r="L11" s="65">
        <f>Q12</f>
        <v>845.11</v>
      </c>
      <c r="N11" s="108"/>
      <c r="O11" s="29"/>
      <c r="P11" s="112"/>
      <c r="Q11" s="112"/>
      <c r="R11" s="109"/>
    </row>
    <row r="12" spans="2:18" ht="12">
      <c r="B12" s="62" t="s">
        <v>1042</v>
      </c>
      <c r="C12" s="63">
        <f>TAB28_DATA_VAL</f>
        <v>38565</v>
      </c>
      <c r="E12" s="108"/>
      <c r="F12" s="141" t="s">
        <v>1302</v>
      </c>
      <c r="G12" s="49" t="s">
        <v>607</v>
      </c>
      <c r="H12" s="912">
        <v>845.11</v>
      </c>
      <c r="I12" s="109"/>
      <c r="K12" s="66" t="s">
        <v>870</v>
      </c>
      <c r="L12" s="65">
        <f>Q14</f>
        <v>874.73</v>
      </c>
      <c r="N12" s="108"/>
      <c r="O12" s="141" t="s">
        <v>1302</v>
      </c>
      <c r="P12" s="49" t="s">
        <v>607</v>
      </c>
      <c r="Q12" s="909">
        <f>H12</f>
        <v>845.11</v>
      </c>
      <c r="R12" s="109"/>
    </row>
    <row r="13" spans="2:18" ht="12">
      <c r="B13" s="66" t="s">
        <v>720</v>
      </c>
      <c r="C13" s="65">
        <f>H12</f>
        <v>845.11</v>
      </c>
      <c r="E13" s="108"/>
      <c r="F13" s="216"/>
      <c r="G13" s="216" t="s">
        <v>1079</v>
      </c>
      <c r="H13" s="913"/>
      <c r="I13" s="109"/>
      <c r="K13" s="66" t="s">
        <v>871</v>
      </c>
      <c r="L13" s="65">
        <f>Q16</f>
        <v>886.63</v>
      </c>
      <c r="N13" s="108"/>
      <c r="O13" s="216"/>
      <c r="P13" s="216" t="s">
        <v>1079</v>
      </c>
      <c r="Q13" s="881"/>
      <c r="R13" s="109"/>
    </row>
    <row r="14" spans="2:18" ht="12">
      <c r="B14" s="66" t="s">
        <v>870</v>
      </c>
      <c r="C14" s="65">
        <f>H14</f>
        <v>874.73</v>
      </c>
      <c r="E14" s="108"/>
      <c r="F14" s="142" t="s">
        <v>1303</v>
      </c>
      <c r="G14" s="50" t="s">
        <v>608</v>
      </c>
      <c r="H14" s="914">
        <v>874.73</v>
      </c>
      <c r="I14" s="109"/>
      <c r="K14" s="66" t="s">
        <v>879</v>
      </c>
      <c r="L14" s="65">
        <f>Q18</f>
        <v>898.04</v>
      </c>
      <c r="N14" s="108"/>
      <c r="O14" s="142" t="s">
        <v>1303</v>
      </c>
      <c r="P14" s="50" t="s">
        <v>608</v>
      </c>
      <c r="Q14" s="910">
        <f aca="true" t="shared" si="0" ref="Q14:Q36">H14</f>
        <v>874.73</v>
      </c>
      <c r="R14" s="109"/>
    </row>
    <row r="15" spans="2:18" ht="12">
      <c r="B15" s="66" t="s">
        <v>871</v>
      </c>
      <c r="C15" s="65">
        <f>H16</f>
        <v>886.63</v>
      </c>
      <c r="E15" s="108"/>
      <c r="F15" s="216"/>
      <c r="G15" s="216" t="s">
        <v>1079</v>
      </c>
      <c r="H15" s="913" t="s">
        <v>1079</v>
      </c>
      <c r="I15" s="109"/>
      <c r="K15" s="66" t="s">
        <v>880</v>
      </c>
      <c r="L15" s="65">
        <f>Q20</f>
        <v>1789.81</v>
      </c>
      <c r="N15" s="108"/>
      <c r="O15" s="216"/>
      <c r="P15" s="216" t="s">
        <v>1079</v>
      </c>
      <c r="Q15" s="881" t="str">
        <f t="shared" si="0"/>
        <v> </v>
      </c>
      <c r="R15" s="109"/>
    </row>
    <row r="16" spans="2:18" ht="12">
      <c r="B16" s="66" t="s">
        <v>879</v>
      </c>
      <c r="C16" s="65">
        <f>H18</f>
        <v>898.04</v>
      </c>
      <c r="E16" s="108"/>
      <c r="F16" s="142" t="s">
        <v>1304</v>
      </c>
      <c r="G16" s="50" t="s">
        <v>609</v>
      </c>
      <c r="H16" s="914">
        <v>886.63</v>
      </c>
      <c r="I16" s="109"/>
      <c r="K16" s="66" t="s">
        <v>804</v>
      </c>
      <c r="L16" s="65">
        <f>Q22</f>
        <v>1875.13</v>
      </c>
      <c r="N16" s="108"/>
      <c r="O16" s="142" t="s">
        <v>1304</v>
      </c>
      <c r="P16" s="50" t="s">
        <v>609</v>
      </c>
      <c r="Q16" s="910">
        <f t="shared" si="0"/>
        <v>886.63</v>
      </c>
      <c r="R16" s="109"/>
    </row>
    <row r="17" spans="2:18" ht="12">
      <c r="B17" s="66" t="s">
        <v>880</v>
      </c>
      <c r="C17" s="65">
        <f>H20</f>
        <v>1789.81</v>
      </c>
      <c r="E17" s="108"/>
      <c r="F17" s="216"/>
      <c r="G17" s="216" t="s">
        <v>1079</v>
      </c>
      <c r="H17" s="913" t="s">
        <v>1079</v>
      </c>
      <c r="I17" s="109"/>
      <c r="K17" s="66" t="s">
        <v>805</v>
      </c>
      <c r="L17" s="65">
        <f>Q24</f>
        <v>1960.49</v>
      </c>
      <c r="N17" s="108"/>
      <c r="O17" s="216"/>
      <c r="P17" s="216" t="s">
        <v>1079</v>
      </c>
      <c r="Q17" s="881" t="str">
        <f t="shared" si="0"/>
        <v> </v>
      </c>
      <c r="R17" s="109"/>
    </row>
    <row r="18" spans="2:18" ht="12">
      <c r="B18" s="66" t="s">
        <v>804</v>
      </c>
      <c r="C18" s="65">
        <f>H22</f>
        <v>1875.13</v>
      </c>
      <c r="E18" s="108"/>
      <c r="F18" s="142" t="s">
        <v>1305</v>
      </c>
      <c r="G18" s="50" t="s">
        <v>610</v>
      </c>
      <c r="H18" s="914">
        <v>898.04</v>
      </c>
      <c r="I18" s="109"/>
      <c r="K18" s="66" t="s">
        <v>806</v>
      </c>
      <c r="L18" s="65">
        <f>Q26</f>
        <v>2045.24</v>
      </c>
      <c r="N18" s="108"/>
      <c r="O18" s="142" t="s">
        <v>1305</v>
      </c>
      <c r="P18" s="50" t="s">
        <v>610</v>
      </c>
      <c r="Q18" s="910">
        <f t="shared" si="0"/>
        <v>898.04</v>
      </c>
      <c r="R18" s="109"/>
    </row>
    <row r="19" spans="2:18" ht="12">
      <c r="B19" s="66" t="s">
        <v>805</v>
      </c>
      <c r="C19" s="65">
        <f>H24</f>
        <v>1960.49</v>
      </c>
      <c r="E19" s="108"/>
      <c r="F19" s="216"/>
      <c r="G19" s="216" t="s">
        <v>1079</v>
      </c>
      <c r="H19" s="913" t="s">
        <v>1079</v>
      </c>
      <c r="I19" s="109"/>
      <c r="K19" s="66" t="s">
        <v>807</v>
      </c>
      <c r="L19" s="65">
        <f>Q28</f>
        <v>2173.21</v>
      </c>
      <c r="N19" s="108"/>
      <c r="O19" s="216"/>
      <c r="P19" s="216" t="s">
        <v>1079</v>
      </c>
      <c r="Q19" s="881" t="str">
        <f t="shared" si="0"/>
        <v> </v>
      </c>
      <c r="R19" s="109"/>
    </row>
    <row r="20" spans="2:18" ht="12">
      <c r="B20" s="66" t="s">
        <v>806</v>
      </c>
      <c r="C20" s="65">
        <f>H26</f>
        <v>2045.24</v>
      </c>
      <c r="E20" s="108"/>
      <c r="F20" s="142" t="s">
        <v>1306</v>
      </c>
      <c r="G20" s="50" t="s">
        <v>611</v>
      </c>
      <c r="H20" s="914">
        <v>1789.81</v>
      </c>
      <c r="I20" s="109"/>
      <c r="K20" s="66" t="s">
        <v>808</v>
      </c>
      <c r="L20" s="65">
        <f>Q30</f>
        <v>2864.69</v>
      </c>
      <c r="N20" s="108"/>
      <c r="O20" s="142" t="s">
        <v>1306</v>
      </c>
      <c r="P20" s="50" t="s">
        <v>611</v>
      </c>
      <c r="Q20" s="910">
        <f t="shared" si="0"/>
        <v>1789.81</v>
      </c>
      <c r="R20" s="109"/>
    </row>
    <row r="21" spans="2:18" ht="12">
      <c r="B21" s="66" t="s">
        <v>807</v>
      </c>
      <c r="C21" s="65">
        <f>H28</f>
        <v>2173.21</v>
      </c>
      <c r="E21" s="108"/>
      <c r="F21" s="216"/>
      <c r="G21" s="216" t="s">
        <v>1079</v>
      </c>
      <c r="H21" s="913" t="s">
        <v>1079</v>
      </c>
      <c r="I21" s="109"/>
      <c r="K21" s="66" t="s">
        <v>809</v>
      </c>
      <c r="L21" s="65">
        <f>Q32</f>
        <v>2909.57</v>
      </c>
      <c r="N21" s="108"/>
      <c r="O21" s="216"/>
      <c r="P21" s="216" t="s">
        <v>1079</v>
      </c>
      <c r="Q21" s="881" t="str">
        <f t="shared" si="0"/>
        <v> </v>
      </c>
      <c r="R21" s="109"/>
    </row>
    <row r="22" spans="2:18" ht="12">
      <c r="B22" s="66" t="s">
        <v>808</v>
      </c>
      <c r="C22" s="65">
        <f>H30</f>
        <v>2864.69</v>
      </c>
      <c r="E22" s="108"/>
      <c r="F22" s="142" t="s">
        <v>1307</v>
      </c>
      <c r="G22" s="50" t="s">
        <v>612</v>
      </c>
      <c r="H22" s="914">
        <v>1875.13</v>
      </c>
      <c r="I22" s="109"/>
      <c r="K22" s="66" t="s">
        <v>705</v>
      </c>
      <c r="L22" s="65">
        <f>Q34</f>
        <v>2955.17</v>
      </c>
      <c r="N22" s="108"/>
      <c r="O22" s="142" t="s">
        <v>1307</v>
      </c>
      <c r="P22" s="50" t="s">
        <v>612</v>
      </c>
      <c r="Q22" s="910">
        <f t="shared" si="0"/>
        <v>1875.13</v>
      </c>
      <c r="R22" s="109"/>
    </row>
    <row r="23" spans="2:18" ht="12.75" thickBot="1">
      <c r="B23" s="66" t="s">
        <v>809</v>
      </c>
      <c r="C23" s="65">
        <f>H32</f>
        <v>2909.57</v>
      </c>
      <c r="E23" s="108"/>
      <c r="F23" s="216"/>
      <c r="G23" s="216" t="s">
        <v>1079</v>
      </c>
      <c r="H23" s="913" t="s">
        <v>1079</v>
      </c>
      <c r="I23" s="109"/>
      <c r="K23" s="67" t="s">
        <v>706</v>
      </c>
      <c r="L23" s="83">
        <f>Q36</f>
        <v>3000.08</v>
      </c>
      <c r="N23" s="108"/>
      <c r="O23" s="216"/>
      <c r="P23" s="216" t="s">
        <v>1079</v>
      </c>
      <c r="Q23" s="881" t="str">
        <f t="shared" si="0"/>
        <v> </v>
      </c>
      <c r="R23" s="109"/>
    </row>
    <row r="24" spans="2:18" ht="12">
      <c r="B24" s="66" t="s">
        <v>705</v>
      </c>
      <c r="C24" s="65">
        <f>H34</f>
        <v>2955.17</v>
      </c>
      <c r="E24" s="108"/>
      <c r="F24" s="142" t="s">
        <v>1308</v>
      </c>
      <c r="G24" s="50" t="s">
        <v>613</v>
      </c>
      <c r="H24" s="914">
        <v>1960.49</v>
      </c>
      <c r="I24" s="109"/>
      <c r="K24" s="86"/>
      <c r="L24" s="87"/>
      <c r="N24" s="108"/>
      <c r="O24" s="142" t="s">
        <v>1308</v>
      </c>
      <c r="P24" s="50" t="s">
        <v>613</v>
      </c>
      <c r="Q24" s="910">
        <f t="shared" si="0"/>
        <v>1960.49</v>
      </c>
      <c r="R24" s="109"/>
    </row>
    <row r="25" spans="2:18" ht="12.75" thickBot="1">
      <c r="B25" s="67" t="s">
        <v>706</v>
      </c>
      <c r="C25" s="83">
        <f>H36</f>
        <v>3000.08</v>
      </c>
      <c r="E25" s="108"/>
      <c r="F25" s="216"/>
      <c r="G25" s="216" t="s">
        <v>1079</v>
      </c>
      <c r="H25" s="913" t="s">
        <v>1079</v>
      </c>
      <c r="I25" s="109"/>
      <c r="K25" s="86"/>
      <c r="L25" s="87"/>
      <c r="N25" s="108"/>
      <c r="O25" s="216"/>
      <c r="P25" s="216" t="s">
        <v>1079</v>
      </c>
      <c r="Q25" s="881" t="str">
        <f t="shared" si="0"/>
        <v> </v>
      </c>
      <c r="R25" s="109"/>
    </row>
    <row r="26" spans="2:18" ht="12">
      <c r="B26" s="86"/>
      <c r="C26" s="87"/>
      <c r="E26" s="108"/>
      <c r="F26" s="142" t="s">
        <v>1309</v>
      </c>
      <c r="G26" s="50" t="s">
        <v>614</v>
      </c>
      <c r="H26" s="914">
        <v>2045.24</v>
      </c>
      <c r="I26" s="109"/>
      <c r="K26" s="86"/>
      <c r="L26" s="87"/>
      <c r="N26" s="108"/>
      <c r="O26" s="142" t="s">
        <v>1309</v>
      </c>
      <c r="P26" s="50" t="s">
        <v>614</v>
      </c>
      <c r="Q26" s="910">
        <f t="shared" si="0"/>
        <v>2045.24</v>
      </c>
      <c r="R26" s="109"/>
    </row>
    <row r="27" spans="2:18" ht="12">
      <c r="B27" s="86"/>
      <c r="C27" s="87"/>
      <c r="E27" s="108"/>
      <c r="F27" s="216"/>
      <c r="G27" s="216" t="s">
        <v>1079</v>
      </c>
      <c r="H27" s="913" t="s">
        <v>1079</v>
      </c>
      <c r="I27" s="109"/>
      <c r="K27" s="86"/>
      <c r="L27" s="87"/>
      <c r="N27" s="108"/>
      <c r="O27" s="216"/>
      <c r="P27" s="216" t="s">
        <v>1079</v>
      </c>
      <c r="Q27" s="881" t="str">
        <f t="shared" si="0"/>
        <v> </v>
      </c>
      <c r="R27" s="109"/>
    </row>
    <row r="28" spans="2:18" ht="12">
      <c r="B28" s="86"/>
      <c r="C28" s="87"/>
      <c r="E28" s="108"/>
      <c r="F28" s="142" t="s">
        <v>1310</v>
      </c>
      <c r="G28" s="50" t="s">
        <v>615</v>
      </c>
      <c r="H28" s="914">
        <v>2173.21</v>
      </c>
      <c r="I28" s="109"/>
      <c r="K28" s="86"/>
      <c r="L28" s="87"/>
      <c r="N28" s="108"/>
      <c r="O28" s="142" t="s">
        <v>1310</v>
      </c>
      <c r="P28" s="50" t="s">
        <v>615</v>
      </c>
      <c r="Q28" s="910">
        <f t="shared" si="0"/>
        <v>2173.21</v>
      </c>
      <c r="R28" s="109"/>
    </row>
    <row r="29" spans="2:18" ht="12">
      <c r="B29" s="86"/>
      <c r="C29" s="87"/>
      <c r="E29" s="108"/>
      <c r="F29" s="216"/>
      <c r="G29" s="216" t="s">
        <v>1079</v>
      </c>
      <c r="H29" s="913" t="s">
        <v>1079</v>
      </c>
      <c r="I29" s="109"/>
      <c r="K29" s="86"/>
      <c r="L29" s="87"/>
      <c r="N29" s="108"/>
      <c r="O29" s="216"/>
      <c r="P29" s="216" t="s">
        <v>1079</v>
      </c>
      <c r="Q29" s="881" t="str">
        <f t="shared" si="0"/>
        <v> </v>
      </c>
      <c r="R29" s="109"/>
    </row>
    <row r="30" spans="2:18" ht="12">
      <c r="B30" s="86"/>
      <c r="C30" s="87"/>
      <c r="E30" s="108"/>
      <c r="F30" s="142" t="s">
        <v>1311</v>
      </c>
      <c r="G30" s="50" t="s">
        <v>616</v>
      </c>
      <c r="H30" s="914">
        <v>2864.69</v>
      </c>
      <c r="I30" s="109"/>
      <c r="K30" s="86"/>
      <c r="L30" s="87"/>
      <c r="N30" s="108"/>
      <c r="O30" s="142" t="s">
        <v>1311</v>
      </c>
      <c r="P30" s="50" t="s">
        <v>616</v>
      </c>
      <c r="Q30" s="910">
        <f t="shared" si="0"/>
        <v>2864.69</v>
      </c>
      <c r="R30" s="109"/>
    </row>
    <row r="31" spans="2:18" ht="12">
      <c r="B31" s="86"/>
      <c r="C31" s="87"/>
      <c r="E31" s="108"/>
      <c r="F31" s="216"/>
      <c r="G31" s="216" t="s">
        <v>1079</v>
      </c>
      <c r="H31" s="913" t="s">
        <v>1079</v>
      </c>
      <c r="I31" s="109"/>
      <c r="K31" s="86"/>
      <c r="L31" s="87"/>
      <c r="N31" s="108"/>
      <c r="O31" s="216"/>
      <c r="P31" s="216" t="s">
        <v>1079</v>
      </c>
      <c r="Q31" s="881" t="str">
        <f t="shared" si="0"/>
        <v> </v>
      </c>
      <c r="R31" s="109"/>
    </row>
    <row r="32" spans="2:18" ht="12">
      <c r="B32" s="86"/>
      <c r="C32" s="87"/>
      <c r="E32" s="108"/>
      <c r="F32" s="142" t="s">
        <v>1312</v>
      </c>
      <c r="G32" s="50" t="s">
        <v>617</v>
      </c>
      <c r="H32" s="914">
        <v>2909.57</v>
      </c>
      <c r="I32" s="109"/>
      <c r="K32" s="86"/>
      <c r="L32" s="87"/>
      <c r="N32" s="108"/>
      <c r="O32" s="142" t="s">
        <v>1312</v>
      </c>
      <c r="P32" s="50" t="s">
        <v>617</v>
      </c>
      <c r="Q32" s="910">
        <f t="shared" si="0"/>
        <v>2909.57</v>
      </c>
      <c r="R32" s="109"/>
    </row>
    <row r="33" spans="2:18" ht="12">
      <c r="B33" s="86"/>
      <c r="C33" s="87"/>
      <c r="E33" s="108"/>
      <c r="F33" s="216"/>
      <c r="G33" s="216" t="s">
        <v>1079</v>
      </c>
      <c r="H33" s="913" t="s">
        <v>1079</v>
      </c>
      <c r="I33" s="109"/>
      <c r="K33" s="86"/>
      <c r="L33" s="87"/>
      <c r="N33" s="108"/>
      <c r="O33" s="216"/>
      <c r="P33" s="216" t="s">
        <v>1079</v>
      </c>
      <c r="Q33" s="881" t="str">
        <f t="shared" si="0"/>
        <v> </v>
      </c>
      <c r="R33" s="109"/>
    </row>
    <row r="34" spans="2:18" ht="12">
      <c r="B34" s="86"/>
      <c r="C34" s="87"/>
      <c r="E34" s="108"/>
      <c r="F34" s="142" t="s">
        <v>1313</v>
      </c>
      <c r="G34" s="50" t="s">
        <v>618</v>
      </c>
      <c r="H34" s="914">
        <v>2955.17</v>
      </c>
      <c r="I34" s="109"/>
      <c r="K34" s="86"/>
      <c r="L34" s="87"/>
      <c r="N34" s="108"/>
      <c r="O34" s="142" t="s">
        <v>1313</v>
      </c>
      <c r="P34" s="50" t="s">
        <v>618</v>
      </c>
      <c r="Q34" s="910">
        <f t="shared" si="0"/>
        <v>2955.17</v>
      </c>
      <c r="R34" s="109"/>
    </row>
    <row r="35" spans="2:18" ht="12">
      <c r="B35" s="86"/>
      <c r="C35" s="87"/>
      <c r="E35" s="108"/>
      <c r="F35" s="216"/>
      <c r="G35" s="216" t="s">
        <v>1079</v>
      </c>
      <c r="H35" s="913" t="s">
        <v>1079</v>
      </c>
      <c r="I35" s="109"/>
      <c r="K35" s="86"/>
      <c r="L35" s="87"/>
      <c r="N35" s="108"/>
      <c r="O35" s="216"/>
      <c r="P35" s="216" t="s">
        <v>1079</v>
      </c>
      <c r="Q35" s="881" t="str">
        <f t="shared" si="0"/>
        <v> </v>
      </c>
      <c r="R35" s="109"/>
    </row>
    <row r="36" spans="2:18" ht="12">
      <c r="B36" s="86"/>
      <c r="C36" s="87"/>
      <c r="E36" s="108"/>
      <c r="F36" s="143" t="s">
        <v>1314</v>
      </c>
      <c r="G36" s="51" t="s">
        <v>619</v>
      </c>
      <c r="H36" s="915">
        <v>3000.08</v>
      </c>
      <c r="I36" s="109"/>
      <c r="K36" s="86"/>
      <c r="L36" s="87"/>
      <c r="N36" s="108"/>
      <c r="O36" s="143" t="s">
        <v>1314</v>
      </c>
      <c r="P36" s="51" t="s">
        <v>619</v>
      </c>
      <c r="Q36" s="911">
        <f t="shared" si="0"/>
        <v>3000.08</v>
      </c>
      <c r="R36" s="109"/>
    </row>
    <row r="37" spans="2:18" ht="12">
      <c r="B37" s="86"/>
      <c r="C37" s="87"/>
      <c r="E37" s="108"/>
      <c r="F37" s="31"/>
      <c r="I37" s="109"/>
      <c r="K37" s="86"/>
      <c r="L37" s="87"/>
      <c r="N37" s="108"/>
      <c r="O37" s="29"/>
      <c r="R37" s="109"/>
    </row>
    <row r="38" spans="2:18" ht="12">
      <c r="B38" s="86"/>
      <c r="C38" s="87"/>
      <c r="E38" s="108"/>
      <c r="F38" s="31"/>
      <c r="I38" s="109"/>
      <c r="K38" s="86"/>
      <c r="L38" s="87"/>
      <c r="N38" s="108"/>
      <c r="O38" s="29"/>
      <c r="R38" s="109"/>
    </row>
    <row r="39" spans="2:18" ht="12" customHeight="1">
      <c r="B39" s="86"/>
      <c r="C39" s="87"/>
      <c r="E39" s="108"/>
      <c r="G39" s="316"/>
      <c r="H39" s="316"/>
      <c r="I39" s="109"/>
      <c r="K39" s="86"/>
      <c r="L39" s="87"/>
      <c r="N39" s="108"/>
      <c r="O39" s="29"/>
      <c r="P39" s="29"/>
      <c r="Q39" s="30" t="s">
        <v>1079</v>
      </c>
      <c r="R39" s="109"/>
    </row>
    <row r="40" spans="2:18" ht="12">
      <c r="B40" s="86"/>
      <c r="C40" s="87"/>
      <c r="E40" s="108"/>
      <c r="F40" s="323"/>
      <c r="G40" s="323"/>
      <c r="H40" s="323"/>
      <c r="I40" s="109"/>
      <c r="K40" s="86"/>
      <c r="L40" s="87"/>
      <c r="N40" s="108"/>
      <c r="O40" s="323"/>
      <c r="P40" s="323"/>
      <c r="Q40" s="323"/>
      <c r="R40" s="109"/>
    </row>
    <row r="41" spans="2:18" ht="12">
      <c r="B41" s="86"/>
      <c r="C41" s="87"/>
      <c r="E41" s="108"/>
      <c r="F41" s="323"/>
      <c r="G41" s="323"/>
      <c r="H41" s="323"/>
      <c r="I41" s="109"/>
      <c r="K41" s="86"/>
      <c r="L41" s="87"/>
      <c r="N41" s="108"/>
      <c r="O41" s="323"/>
      <c r="P41" s="323"/>
      <c r="Q41" s="323"/>
      <c r="R41" s="109"/>
    </row>
    <row r="42" spans="2:18" ht="12" customHeight="1">
      <c r="B42" s="86"/>
      <c r="C42" s="87"/>
      <c r="E42" s="108"/>
      <c r="F42" s="323"/>
      <c r="G42" s="323"/>
      <c r="H42" s="323"/>
      <c r="I42" s="317"/>
      <c r="K42" s="86"/>
      <c r="L42" s="87"/>
      <c r="N42" s="108"/>
      <c r="O42" s="323"/>
      <c r="P42" s="323"/>
      <c r="Q42" s="323"/>
      <c r="R42" s="109"/>
    </row>
    <row r="43" spans="2:18" ht="12">
      <c r="B43" s="86"/>
      <c r="C43" s="87"/>
      <c r="E43" s="108"/>
      <c r="F43" s="131"/>
      <c r="G43" s="29"/>
      <c r="H43" s="29"/>
      <c r="I43" s="317"/>
      <c r="K43" s="86"/>
      <c r="L43" s="87"/>
      <c r="N43" s="108"/>
      <c r="O43" s="29"/>
      <c r="P43" s="29"/>
      <c r="Q43" s="29"/>
      <c r="R43" s="109"/>
    </row>
    <row r="44" spans="2:18" ht="12" customHeight="1">
      <c r="B44" s="86"/>
      <c r="C44" s="87"/>
      <c r="E44" s="108"/>
      <c r="F44" s="131"/>
      <c r="G44" s="323"/>
      <c r="H44" s="323"/>
      <c r="I44" s="109"/>
      <c r="K44" s="86"/>
      <c r="L44" s="87"/>
      <c r="N44" s="108"/>
      <c r="O44" s="29"/>
      <c r="P44" s="29"/>
      <c r="Q44" s="29"/>
      <c r="R44" s="109"/>
    </row>
    <row r="45" spans="2:18" ht="12">
      <c r="B45" s="86"/>
      <c r="C45" s="87"/>
      <c r="E45" s="108"/>
      <c r="F45" s="1348" t="s">
        <v>621</v>
      </c>
      <c r="G45" s="1349"/>
      <c r="H45" s="1350"/>
      <c r="I45" s="109"/>
      <c r="K45" s="86"/>
      <c r="L45" s="87"/>
      <c r="N45" s="108"/>
      <c r="O45" s="29"/>
      <c r="P45" s="29"/>
      <c r="Q45" s="29"/>
      <c r="R45" s="109"/>
    </row>
    <row r="46" spans="2:18" ht="12" customHeight="1">
      <c r="B46" s="86"/>
      <c r="C46" s="87"/>
      <c r="E46" s="108"/>
      <c r="F46" s="1353"/>
      <c r="G46" s="1354"/>
      <c r="H46" s="1355"/>
      <c r="I46" s="109"/>
      <c r="K46" s="86"/>
      <c r="L46" s="87"/>
      <c r="N46" s="108"/>
      <c r="O46" s="316"/>
      <c r="P46" s="316"/>
      <c r="Q46" s="316"/>
      <c r="R46" s="109"/>
    </row>
    <row r="47" spans="2:18" ht="12">
      <c r="B47" s="86"/>
      <c r="C47" s="87"/>
      <c r="E47" s="108"/>
      <c r="F47" s="131"/>
      <c r="G47" s="29"/>
      <c r="H47" s="29"/>
      <c r="I47" s="109"/>
      <c r="K47" s="86"/>
      <c r="L47" s="87"/>
      <c r="N47" s="108"/>
      <c r="O47" s="316"/>
      <c r="P47" s="316"/>
      <c r="Q47" s="316"/>
      <c r="R47" s="109"/>
    </row>
    <row r="48" spans="2:18" ht="12">
      <c r="B48" s="86"/>
      <c r="C48" s="87"/>
      <c r="E48" s="108"/>
      <c r="F48" s="131"/>
      <c r="G48" s="29"/>
      <c r="H48" s="29"/>
      <c r="I48" s="109"/>
      <c r="K48" s="86"/>
      <c r="L48" s="87"/>
      <c r="N48" s="108"/>
      <c r="O48" s="29"/>
      <c r="P48" s="29"/>
      <c r="Q48" s="29"/>
      <c r="R48" s="109"/>
    </row>
    <row r="49" spans="2:18" ht="12">
      <c r="B49" s="86"/>
      <c r="C49" s="87"/>
      <c r="E49" s="108"/>
      <c r="F49" s="131"/>
      <c r="G49" s="29"/>
      <c r="H49" s="29"/>
      <c r="I49" s="109"/>
      <c r="K49" s="86"/>
      <c r="L49" s="87"/>
      <c r="N49" s="108"/>
      <c r="O49" s="29"/>
      <c r="P49" s="29"/>
      <c r="Q49" s="29"/>
      <c r="R49" s="109"/>
    </row>
    <row r="50" spans="2:18" ht="12">
      <c r="B50" s="86"/>
      <c r="C50" s="87"/>
      <c r="E50" s="108"/>
      <c r="F50" s="131"/>
      <c r="G50" s="29"/>
      <c r="H50" s="29"/>
      <c r="I50" s="109"/>
      <c r="K50" s="86"/>
      <c r="L50" s="87"/>
      <c r="N50" s="108"/>
      <c r="O50" s="29"/>
      <c r="P50" s="29"/>
      <c r="Q50" s="29"/>
      <c r="R50" s="109"/>
    </row>
    <row r="51" spans="2:18" ht="12">
      <c r="B51" s="86"/>
      <c r="C51" s="87"/>
      <c r="E51" s="114"/>
      <c r="F51" s="135"/>
      <c r="G51" s="115"/>
      <c r="H51" s="115"/>
      <c r="I51" s="116"/>
      <c r="K51" s="86"/>
      <c r="L51" s="87"/>
      <c r="N51" s="114"/>
      <c r="O51" s="113"/>
      <c r="P51" s="113"/>
      <c r="Q51" s="113"/>
      <c r="R51" s="116"/>
    </row>
    <row r="52" spans="2:20" ht="12">
      <c r="B52" s="86"/>
      <c r="C52" s="87"/>
      <c r="D52" s="29"/>
      <c r="E52" s="30"/>
      <c r="F52" s="131"/>
      <c r="G52" s="29"/>
      <c r="H52" s="29"/>
      <c r="I52" s="30"/>
      <c r="J52" s="29"/>
      <c r="K52" s="86"/>
      <c r="L52" s="87"/>
      <c r="M52" s="29"/>
      <c r="N52" s="30"/>
      <c r="O52" s="29"/>
      <c r="P52" s="29"/>
      <c r="Q52" s="29"/>
      <c r="R52" s="30"/>
      <c r="S52" s="29"/>
      <c r="T52" s="29"/>
    </row>
    <row r="53" spans="2:20" ht="12">
      <c r="B53" s="86"/>
      <c r="C53" s="87"/>
      <c r="D53" s="29"/>
      <c r="E53" s="30"/>
      <c r="F53" s="131"/>
      <c r="G53" s="29"/>
      <c r="H53" s="29"/>
      <c r="I53" s="30"/>
      <c r="J53" s="29"/>
      <c r="K53" s="86"/>
      <c r="L53" s="87"/>
      <c r="M53" s="29"/>
      <c r="N53" s="30"/>
      <c r="O53" s="29"/>
      <c r="P53" s="29"/>
      <c r="Q53" s="29"/>
      <c r="R53" s="30"/>
      <c r="S53" s="29"/>
      <c r="T53" s="29"/>
    </row>
    <row r="54" spans="2:20" ht="12">
      <c r="B54" s="86"/>
      <c r="C54" s="87"/>
      <c r="D54" s="29"/>
      <c r="E54" s="30"/>
      <c r="F54" s="131"/>
      <c r="G54" s="29"/>
      <c r="H54" s="29"/>
      <c r="I54" s="30"/>
      <c r="J54" s="29"/>
      <c r="K54" s="86"/>
      <c r="L54" s="87"/>
      <c r="M54" s="29"/>
      <c r="N54" s="30"/>
      <c r="O54" s="29"/>
      <c r="P54" s="29"/>
      <c r="Q54" s="29"/>
      <c r="R54" s="30"/>
      <c r="S54" s="29"/>
      <c r="T54" s="29"/>
    </row>
    <row r="55" spans="2:20" ht="12">
      <c r="B55" s="86"/>
      <c r="C55" s="87"/>
      <c r="D55" s="29"/>
      <c r="E55" s="30"/>
      <c r="F55" s="131"/>
      <c r="G55" s="29"/>
      <c r="H55" s="29"/>
      <c r="I55" s="30"/>
      <c r="J55" s="29"/>
      <c r="K55" s="86"/>
      <c r="L55" s="87"/>
      <c r="M55" s="29"/>
      <c r="N55" s="30"/>
      <c r="O55" s="29"/>
      <c r="P55" s="29"/>
      <c r="Q55" s="29"/>
      <c r="R55" s="30"/>
      <c r="S55" s="29"/>
      <c r="T55" s="29"/>
    </row>
    <row r="56" spans="2:20" ht="12">
      <c r="B56" s="86"/>
      <c r="C56" s="87"/>
      <c r="D56" s="29"/>
      <c r="E56" s="30"/>
      <c r="F56" s="131"/>
      <c r="G56" s="29"/>
      <c r="H56" s="29"/>
      <c r="I56" s="30"/>
      <c r="J56" s="29"/>
      <c r="K56" s="86"/>
      <c r="L56" s="87"/>
      <c r="M56" s="29"/>
      <c r="N56" s="30"/>
      <c r="O56" s="29"/>
      <c r="P56" s="29"/>
      <c r="Q56" s="29"/>
      <c r="R56" s="30"/>
      <c r="S56" s="29"/>
      <c r="T56" s="29"/>
    </row>
    <row r="57" spans="2:20" ht="12">
      <c r="B57" s="86"/>
      <c r="C57" s="87"/>
      <c r="D57" s="29"/>
      <c r="E57" s="30"/>
      <c r="F57" s="131"/>
      <c r="G57" s="29"/>
      <c r="H57" s="29"/>
      <c r="I57" s="30"/>
      <c r="J57" s="29"/>
      <c r="K57" s="86"/>
      <c r="L57" s="87"/>
      <c r="M57" s="29"/>
      <c r="N57" s="30"/>
      <c r="O57" s="29"/>
      <c r="P57" s="29"/>
      <c r="Q57" s="29"/>
      <c r="R57" s="30"/>
      <c r="S57" s="29"/>
      <c r="T57" s="29"/>
    </row>
    <row r="58" spans="2:20" ht="12">
      <c r="B58" s="86"/>
      <c r="C58" s="87"/>
      <c r="D58" s="29"/>
      <c r="E58" s="30"/>
      <c r="F58" s="131"/>
      <c r="G58" s="29"/>
      <c r="H58" s="29"/>
      <c r="I58" s="30"/>
      <c r="J58" s="29"/>
      <c r="K58" s="86"/>
      <c r="L58" s="87"/>
      <c r="M58" s="29"/>
      <c r="N58" s="30"/>
      <c r="O58" s="29"/>
      <c r="P58" s="29"/>
      <c r="Q58" s="29"/>
      <c r="R58" s="30"/>
      <c r="S58" s="29"/>
      <c r="T58" s="29"/>
    </row>
    <row r="59" spans="2:20" ht="12">
      <c r="B59" s="86"/>
      <c r="C59" s="87"/>
      <c r="D59" s="29"/>
      <c r="E59" s="30"/>
      <c r="F59" s="131"/>
      <c r="G59" s="29"/>
      <c r="H59" s="29"/>
      <c r="I59" s="30"/>
      <c r="J59" s="29"/>
      <c r="K59" s="86"/>
      <c r="L59" s="87"/>
      <c r="M59" s="29"/>
      <c r="N59" s="30"/>
      <c r="O59" s="29"/>
      <c r="P59" s="29"/>
      <c r="Q59" s="29"/>
      <c r="R59" s="30"/>
      <c r="S59" s="29"/>
      <c r="T59" s="29"/>
    </row>
    <row r="60" spans="2:20" ht="12">
      <c r="B60" s="86"/>
      <c r="C60" s="87"/>
      <c r="D60" s="29"/>
      <c r="E60" s="30"/>
      <c r="F60" s="131"/>
      <c r="G60" s="29"/>
      <c r="H60" s="29"/>
      <c r="I60" s="30"/>
      <c r="J60" s="29"/>
      <c r="K60" s="86"/>
      <c r="L60" s="87"/>
      <c r="M60" s="29"/>
      <c r="N60" s="30"/>
      <c r="O60" s="29"/>
      <c r="P60" s="29"/>
      <c r="Q60" s="29"/>
      <c r="R60" s="30"/>
      <c r="S60" s="29"/>
      <c r="T60" s="29"/>
    </row>
    <row r="61" spans="2:20" ht="12">
      <c r="B61" s="86"/>
      <c r="C61" s="87"/>
      <c r="D61" s="29"/>
      <c r="E61" s="30"/>
      <c r="F61" s="131"/>
      <c r="G61" s="29"/>
      <c r="H61" s="29"/>
      <c r="I61" s="30"/>
      <c r="J61" s="29"/>
      <c r="K61" s="86"/>
      <c r="L61" s="87"/>
      <c r="M61" s="29"/>
      <c r="N61" s="30"/>
      <c r="O61" s="29"/>
      <c r="P61" s="29"/>
      <c r="Q61" s="29"/>
      <c r="R61" s="30"/>
      <c r="S61" s="29"/>
      <c r="T61" s="29"/>
    </row>
    <row r="62" spans="2:20" ht="12">
      <c r="B62" s="86"/>
      <c r="C62" s="87"/>
      <c r="D62" s="29"/>
      <c r="E62" s="29"/>
      <c r="F62" s="29"/>
      <c r="G62" s="29"/>
      <c r="H62" s="29"/>
      <c r="I62" s="29"/>
      <c r="J62" s="29"/>
      <c r="K62" s="86"/>
      <c r="L62" s="87"/>
      <c r="M62" s="29"/>
      <c r="N62" s="30"/>
      <c r="O62" s="30"/>
      <c r="P62" s="30"/>
      <c r="Q62" s="30"/>
      <c r="R62" s="30"/>
      <c r="S62" s="29"/>
      <c r="T62" s="29"/>
    </row>
    <row r="63" spans="2:20" ht="12">
      <c r="B63" s="86"/>
      <c r="C63" s="138"/>
      <c r="K63" s="86"/>
      <c r="L63" s="138"/>
      <c r="M63" s="29"/>
      <c r="N63" s="29"/>
      <c r="O63" s="29"/>
      <c r="P63" s="29"/>
      <c r="Q63" s="29"/>
      <c r="R63" s="29"/>
      <c r="S63" s="29"/>
      <c r="T63" s="29"/>
    </row>
    <row r="64" spans="2:20" ht="12">
      <c r="B64" s="86"/>
      <c r="C64" s="138"/>
      <c r="K64" s="86"/>
      <c r="L64" s="138"/>
      <c r="M64" s="29"/>
      <c r="N64" s="29"/>
      <c r="O64" s="29"/>
      <c r="P64" s="29"/>
      <c r="Q64" s="29"/>
      <c r="R64" s="29"/>
      <c r="S64" s="29"/>
      <c r="T64" s="29"/>
    </row>
    <row r="65" spans="2:20" ht="12">
      <c r="B65" s="86"/>
      <c r="C65" s="138"/>
      <c r="K65" s="86"/>
      <c r="L65" s="138"/>
      <c r="M65" s="29"/>
      <c r="N65" s="29"/>
      <c r="O65" s="29"/>
      <c r="P65" s="29"/>
      <c r="Q65" s="29"/>
      <c r="R65" s="29"/>
      <c r="S65" s="29"/>
      <c r="T65" s="29"/>
    </row>
    <row r="66" spans="2:20" ht="12">
      <c r="B66" s="86"/>
      <c r="C66" s="138"/>
      <c r="K66" s="86"/>
      <c r="L66" s="138"/>
      <c r="M66" s="29"/>
      <c r="N66" s="29"/>
      <c r="O66" s="29"/>
      <c r="P66" s="29"/>
      <c r="Q66" s="29"/>
      <c r="R66" s="29"/>
      <c r="S66" s="29"/>
      <c r="T66" s="29"/>
    </row>
    <row r="67" spans="2:20" ht="12">
      <c r="B67" s="86"/>
      <c r="C67" s="138"/>
      <c r="K67" s="86"/>
      <c r="L67" s="138"/>
      <c r="M67" s="29"/>
      <c r="N67" s="29"/>
      <c r="O67" s="29"/>
      <c r="P67" s="29"/>
      <c r="Q67" s="29"/>
      <c r="R67" s="29"/>
      <c r="S67" s="29"/>
      <c r="T67" s="29"/>
    </row>
    <row r="68" spans="2:20" ht="12">
      <c r="B68" s="86"/>
      <c r="C68" s="138"/>
      <c r="K68" s="86"/>
      <c r="L68" s="138"/>
      <c r="M68" s="29"/>
      <c r="N68" s="29"/>
      <c r="O68" s="29"/>
      <c r="P68" s="29"/>
      <c r="Q68" s="29"/>
      <c r="R68" s="29"/>
      <c r="S68" s="29"/>
      <c r="T68" s="29"/>
    </row>
    <row r="69" spans="2:12" ht="12">
      <c r="B69" s="86"/>
      <c r="C69" s="138"/>
      <c r="K69" s="86"/>
      <c r="L69" s="138"/>
    </row>
    <row r="70" spans="2:12" ht="12">
      <c r="B70" s="86"/>
      <c r="C70" s="138"/>
      <c r="K70" s="86"/>
      <c r="L70" s="138"/>
    </row>
    <row r="71" spans="2:12" ht="12">
      <c r="B71" s="86"/>
      <c r="C71" s="138"/>
      <c r="K71" s="86"/>
      <c r="L71" s="138"/>
    </row>
    <row r="72" spans="2:12" ht="12">
      <c r="B72" s="86"/>
      <c r="C72" s="138"/>
      <c r="K72" s="86"/>
      <c r="L72" s="138"/>
    </row>
    <row r="73" spans="2:12" ht="12">
      <c r="B73" s="86"/>
      <c r="C73" s="138"/>
      <c r="K73" s="86"/>
      <c r="L73" s="138"/>
    </row>
    <row r="74" spans="2:12" ht="12">
      <c r="B74" s="86"/>
      <c r="C74" s="138"/>
      <c r="K74" s="86"/>
      <c r="L74" s="138"/>
    </row>
    <row r="75" spans="2:12" ht="12">
      <c r="B75" s="86"/>
      <c r="C75" s="138"/>
      <c r="K75" s="86"/>
      <c r="L75" s="138"/>
    </row>
    <row r="76" spans="2:12" ht="12">
      <c r="B76" s="86"/>
      <c r="C76" s="138"/>
      <c r="K76" s="86"/>
      <c r="L76" s="138"/>
    </row>
    <row r="77" spans="2:12" ht="12">
      <c r="B77" s="86"/>
      <c r="C77" s="138"/>
      <c r="K77" s="86"/>
      <c r="L77" s="138"/>
    </row>
    <row r="78" spans="2:12" ht="12">
      <c r="B78" s="86"/>
      <c r="C78" s="138"/>
      <c r="K78" s="86"/>
      <c r="L78" s="138"/>
    </row>
    <row r="79" spans="2:12" ht="12">
      <c r="B79" s="86"/>
      <c r="C79" s="138"/>
      <c r="K79" s="86"/>
      <c r="L79" s="138"/>
    </row>
    <row r="80" spans="2:12" ht="12">
      <c r="B80" s="86"/>
      <c r="C80" s="138"/>
      <c r="K80" s="86"/>
      <c r="L80" s="138"/>
    </row>
    <row r="81" spans="2:12" ht="12">
      <c r="B81" s="86"/>
      <c r="C81" s="138"/>
      <c r="K81" s="86"/>
      <c r="L81" s="138"/>
    </row>
    <row r="82" spans="2:12" ht="12">
      <c r="B82" s="86"/>
      <c r="C82" s="138"/>
      <c r="K82" s="86"/>
      <c r="L82" s="138"/>
    </row>
    <row r="83" spans="2:12" ht="12">
      <c r="B83" s="86"/>
      <c r="C83" s="138"/>
      <c r="K83" s="86"/>
      <c r="L83" s="138"/>
    </row>
    <row r="84" spans="2:12" ht="12">
      <c r="B84" s="86"/>
      <c r="C84" s="138"/>
      <c r="K84" s="86"/>
      <c r="L84" s="138"/>
    </row>
    <row r="85" spans="2:12" ht="12">
      <c r="B85" s="86"/>
      <c r="C85" s="138"/>
      <c r="K85" s="86"/>
      <c r="L85" s="138"/>
    </row>
    <row r="86" spans="2:12" ht="12">
      <c r="B86" s="86"/>
      <c r="C86" s="138"/>
      <c r="K86" s="86"/>
      <c r="L86" s="138"/>
    </row>
    <row r="87" spans="2:12" ht="12">
      <c r="B87" s="86"/>
      <c r="C87" s="138"/>
      <c r="K87" s="86"/>
      <c r="L87" s="138"/>
    </row>
    <row r="88" spans="2:12" ht="12">
      <c r="B88" s="86"/>
      <c r="C88" s="138"/>
      <c r="K88" s="86"/>
      <c r="L88" s="138"/>
    </row>
    <row r="89" spans="2:12" ht="12">
      <c r="B89" s="86"/>
      <c r="C89" s="138"/>
      <c r="K89" s="86"/>
      <c r="L89" s="138"/>
    </row>
    <row r="90" spans="2:12" ht="12">
      <c r="B90" s="86"/>
      <c r="C90" s="138"/>
      <c r="K90" s="86"/>
      <c r="L90" s="138"/>
    </row>
    <row r="91" spans="2:12" ht="12">
      <c r="B91" s="86"/>
      <c r="C91" s="87"/>
      <c r="K91" s="86"/>
      <c r="L91" s="87"/>
    </row>
    <row r="92" spans="2:12" ht="12">
      <c r="B92" s="86"/>
      <c r="C92" s="87"/>
      <c r="K92" s="86"/>
      <c r="L92" s="87"/>
    </row>
    <row r="93" spans="2:12" ht="12">
      <c r="B93" s="86"/>
      <c r="C93" s="87"/>
      <c r="K93" s="86"/>
      <c r="L93" s="87"/>
    </row>
    <row r="94" spans="2:12" ht="12">
      <c r="B94" s="86"/>
      <c r="C94" s="87"/>
      <c r="K94" s="86"/>
      <c r="L94" s="87"/>
    </row>
    <row r="95" spans="2:12" ht="12">
      <c r="B95" s="86"/>
      <c r="C95" s="87"/>
      <c r="K95" s="86"/>
      <c r="L95" s="87"/>
    </row>
    <row r="96" spans="2:12" ht="12">
      <c r="B96" s="86"/>
      <c r="C96" s="87"/>
      <c r="K96" s="86"/>
      <c r="L96" s="87"/>
    </row>
    <row r="97" spans="2:12" ht="12">
      <c r="B97" s="86"/>
      <c r="C97" s="87"/>
      <c r="K97" s="86"/>
      <c r="L97" s="87"/>
    </row>
    <row r="98" spans="2:12" ht="12">
      <c r="B98" s="86"/>
      <c r="C98" s="87"/>
      <c r="K98" s="86"/>
      <c r="L98" s="87"/>
    </row>
    <row r="99" spans="2:12" ht="12">
      <c r="B99" s="86"/>
      <c r="C99" s="87"/>
      <c r="K99" s="86"/>
      <c r="L99" s="87"/>
    </row>
    <row r="100" spans="2:12" ht="12">
      <c r="B100" s="86"/>
      <c r="C100" s="87"/>
      <c r="K100" s="86"/>
      <c r="L100" s="87"/>
    </row>
    <row r="101" spans="2:12" ht="12">
      <c r="B101" s="86"/>
      <c r="C101" s="87"/>
      <c r="K101" s="86"/>
      <c r="L101" s="87"/>
    </row>
    <row r="102" spans="2:12" ht="12">
      <c r="B102" s="86"/>
      <c r="C102" s="87"/>
      <c r="K102" s="86"/>
      <c r="L102" s="87"/>
    </row>
    <row r="103" spans="2:12" ht="12">
      <c r="B103" s="86"/>
      <c r="C103" s="87"/>
      <c r="K103" s="86"/>
      <c r="L103" s="87"/>
    </row>
    <row r="108" spans="2:12" ht="12">
      <c r="B108" s="86"/>
      <c r="C108" s="87"/>
      <c r="K108" s="86"/>
      <c r="L108" s="87"/>
    </row>
    <row r="109" spans="2:12" ht="12">
      <c r="B109" s="81"/>
      <c r="C109" s="81"/>
      <c r="K109" s="81"/>
      <c r="L109" s="81"/>
    </row>
    <row r="110" spans="2:12" ht="12">
      <c r="B110" s="81"/>
      <c r="C110" s="81"/>
      <c r="K110" s="81"/>
      <c r="L110" s="81"/>
    </row>
    <row r="111" spans="2:12" ht="12">
      <c r="B111" s="81"/>
      <c r="C111" s="81"/>
      <c r="K111" s="81"/>
      <c r="L111" s="81"/>
    </row>
    <row r="112" spans="2:12" ht="12">
      <c r="B112" s="81"/>
      <c r="C112" s="81"/>
      <c r="K112" s="81"/>
      <c r="L112" s="81"/>
    </row>
    <row r="113" spans="2:12" ht="12">
      <c r="B113" s="81"/>
      <c r="C113" s="81"/>
      <c r="K113" s="81"/>
      <c r="L113" s="81"/>
    </row>
    <row r="114" spans="2:12" ht="12">
      <c r="B114" s="81"/>
      <c r="C114" s="81"/>
      <c r="K114" s="81"/>
      <c r="L114" s="81"/>
    </row>
    <row r="115" spans="2:12" ht="12">
      <c r="B115" s="81"/>
      <c r="C115" s="81"/>
      <c r="K115" s="81"/>
      <c r="L115" s="81"/>
    </row>
    <row r="116" spans="2:12" ht="12">
      <c r="B116" s="81"/>
      <c r="C116" s="81"/>
      <c r="K116" s="81"/>
      <c r="L116" s="81"/>
    </row>
    <row r="117" spans="2:12" ht="12">
      <c r="B117" s="81"/>
      <c r="C117" s="81"/>
      <c r="K117" s="81"/>
      <c r="L117" s="81"/>
    </row>
    <row r="118" spans="2:12" ht="12">
      <c r="B118" s="81"/>
      <c r="C118" s="81"/>
      <c r="K118" s="81"/>
      <c r="L118" s="81"/>
    </row>
    <row r="119" spans="2:12" ht="12">
      <c r="B119" s="81"/>
      <c r="C119" s="81"/>
      <c r="K119" s="81"/>
      <c r="L119" s="81"/>
    </row>
    <row r="120" spans="2:12" ht="12">
      <c r="B120" s="81"/>
      <c r="C120" s="81"/>
      <c r="K120" s="81"/>
      <c r="L120" s="81"/>
    </row>
    <row r="121" spans="2:12" ht="12">
      <c r="B121" s="81"/>
      <c r="C121" s="81"/>
      <c r="K121" s="81"/>
      <c r="L121" s="81"/>
    </row>
    <row r="122" spans="2:12" ht="12">
      <c r="B122" s="81"/>
      <c r="C122" s="81"/>
      <c r="K122" s="81"/>
      <c r="L122" s="81"/>
    </row>
    <row r="123" spans="2:12" ht="12">
      <c r="B123" s="81"/>
      <c r="C123" s="81"/>
      <c r="K123" s="81"/>
      <c r="L123" s="81"/>
    </row>
    <row r="124" spans="2:12" ht="12">
      <c r="B124" s="81"/>
      <c r="C124" s="81"/>
      <c r="K124" s="81"/>
      <c r="L124" s="81"/>
    </row>
    <row r="125" spans="2:12" ht="12">
      <c r="B125" s="81"/>
      <c r="C125" s="81"/>
      <c r="K125" s="81"/>
      <c r="L125" s="81"/>
    </row>
    <row r="126" spans="2:12" ht="12">
      <c r="B126" s="81"/>
      <c r="C126" s="81"/>
      <c r="K126" s="81"/>
      <c r="L126" s="81"/>
    </row>
    <row r="127" spans="2:12" ht="12">
      <c r="B127" s="81"/>
      <c r="C127" s="81"/>
      <c r="K127" s="81"/>
      <c r="L127" s="81"/>
    </row>
    <row r="128" spans="2:12" ht="12">
      <c r="B128" s="81"/>
      <c r="C128" s="81"/>
      <c r="K128" s="81"/>
      <c r="L128" s="81"/>
    </row>
    <row r="129" spans="2:12" ht="12">
      <c r="B129" s="81"/>
      <c r="C129" s="81"/>
      <c r="K129" s="81"/>
      <c r="L129" s="81"/>
    </row>
    <row r="130" spans="2:12" ht="12">
      <c r="B130" s="81"/>
      <c r="C130" s="81"/>
      <c r="K130" s="81"/>
      <c r="L130" s="81"/>
    </row>
  </sheetData>
  <sheetProtection/>
  <mergeCells count="17">
    <mergeCell ref="Q3:R3"/>
    <mergeCell ref="Q4:R4"/>
    <mergeCell ref="Q5:R5"/>
    <mergeCell ref="E3:F3"/>
    <mergeCell ref="H3:I3"/>
    <mergeCell ref="H5:I5"/>
    <mergeCell ref="P4:P5"/>
    <mergeCell ref="G4:G5"/>
    <mergeCell ref="N3:O3"/>
    <mergeCell ref="H4:I4"/>
    <mergeCell ref="Q9:Q10"/>
    <mergeCell ref="F9:F10"/>
    <mergeCell ref="G9:G10"/>
    <mergeCell ref="F45:H46"/>
    <mergeCell ref="H9:H10"/>
    <mergeCell ref="O9:O10"/>
    <mergeCell ref="P9:P10"/>
  </mergeCells>
  <printOptions horizontalCentered="1" verticalCentered="1"/>
  <pageMargins left="0.5905511811023623" right="0.3937007874015748" top="0.4330708661417323" bottom="0.35433070866141736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125"/>
  <sheetViews>
    <sheetView zoomScale="90" zoomScaleNormal="90" zoomScalePageLayoutView="0" workbookViewId="0" topLeftCell="A1">
      <selection activeCell="B10" sqref="B10:C21"/>
    </sheetView>
  </sheetViews>
  <sheetFormatPr defaultColWidth="9.140625" defaultRowHeight="12.75"/>
  <cols>
    <col min="1" max="1" width="9.140625" style="31" customWidth="1"/>
    <col min="2" max="2" width="11.00390625" style="31" hidden="1" customWidth="1"/>
    <col min="3" max="3" width="8.421875" style="31" hidden="1" customWidth="1"/>
    <col min="4" max="4" width="9.28125" style="31" hidden="1" customWidth="1"/>
    <col min="5" max="6" width="10.57421875" style="31" customWidth="1"/>
    <col min="7" max="7" width="10.7109375" style="224" customWidth="1"/>
    <col min="8" max="8" width="21.421875" style="31" customWidth="1"/>
    <col min="9" max="11" width="10.57421875" style="31" customWidth="1"/>
    <col min="12" max="12" width="14.00390625" style="31" customWidth="1"/>
    <col min="13" max="13" width="8.28125" style="31" customWidth="1"/>
    <col min="14" max="14" width="15.00390625" style="31" customWidth="1"/>
    <col min="15" max="15" width="5.57421875" style="31" customWidth="1"/>
    <col min="16" max="16" width="2.7109375" style="31" customWidth="1"/>
    <col min="17" max="16384" width="9.140625" style="31" customWidth="1"/>
  </cols>
  <sheetData>
    <row r="2" spans="5:19" ht="15">
      <c r="E2" s="162"/>
      <c r="F2" s="163"/>
      <c r="G2" s="222"/>
      <c r="H2" s="163"/>
      <c r="I2" s="163"/>
      <c r="J2" s="163"/>
      <c r="K2" s="164"/>
      <c r="L2" s="225"/>
      <c r="M2" s="225"/>
      <c r="N2" s="225"/>
      <c r="O2" s="225"/>
      <c r="R2" s="126"/>
      <c r="S2" s="126"/>
    </row>
    <row r="3" spans="5:15" ht="15">
      <c r="E3" s="1280" t="s">
        <v>274</v>
      </c>
      <c r="F3" s="1223"/>
      <c r="G3" s="1557" t="s">
        <v>220</v>
      </c>
      <c r="H3" s="1557"/>
      <c r="I3" s="1557"/>
      <c r="J3" s="1223" t="s">
        <v>1080</v>
      </c>
      <c r="K3" s="1263"/>
      <c r="L3" s="225"/>
      <c r="M3" s="225"/>
      <c r="N3" s="210"/>
      <c r="O3" s="226"/>
    </row>
    <row r="4" spans="5:15" ht="15">
      <c r="E4" s="165"/>
      <c r="F4" s="166"/>
      <c r="G4" s="1557" t="s">
        <v>221</v>
      </c>
      <c r="H4" s="1557"/>
      <c r="I4" s="1557"/>
      <c r="J4" s="1264">
        <v>36373</v>
      </c>
      <c r="K4" s="1265"/>
      <c r="L4" s="225"/>
      <c r="M4" s="225"/>
      <c r="N4" s="210"/>
      <c r="O4" s="225"/>
    </row>
    <row r="5" spans="5:15" ht="15">
      <c r="E5" s="167"/>
      <c r="F5" s="168"/>
      <c r="G5" s="223"/>
      <c r="H5" s="168"/>
      <c r="I5" s="168"/>
      <c r="J5" s="168"/>
      <c r="K5" s="169"/>
      <c r="L5" s="225"/>
      <c r="M5" s="225"/>
      <c r="N5" s="225"/>
      <c r="O5" s="225"/>
    </row>
    <row r="6" spans="5:15" ht="12">
      <c r="E6" s="70"/>
      <c r="F6" s="29"/>
      <c r="G6" s="227"/>
      <c r="H6" s="29"/>
      <c r="I6" s="29"/>
      <c r="J6" s="29"/>
      <c r="K6" s="71"/>
      <c r="L6" s="29"/>
      <c r="M6" s="29"/>
      <c r="N6" s="29"/>
      <c r="O6" s="109"/>
    </row>
    <row r="7" spans="5:15" ht="12">
      <c r="E7" s="70"/>
      <c r="F7" s="29"/>
      <c r="G7" s="227"/>
      <c r="H7" s="29"/>
      <c r="I7" s="29"/>
      <c r="J7" s="29"/>
      <c r="K7" s="71"/>
      <c r="L7" s="29"/>
      <c r="M7" s="29"/>
      <c r="N7" s="29"/>
      <c r="O7" s="109"/>
    </row>
    <row r="8" spans="5:15" ht="12">
      <c r="E8" s="70"/>
      <c r="F8" s="29"/>
      <c r="G8" s="227"/>
      <c r="K8" s="71"/>
      <c r="M8" s="29"/>
      <c r="N8" s="29"/>
      <c r="O8" s="109"/>
    </row>
    <row r="9" spans="4:15" ht="26.25" customHeight="1" thickBot="1">
      <c r="D9" s="219"/>
      <c r="E9" s="228"/>
      <c r="F9" s="219"/>
      <c r="G9" s="237" t="s">
        <v>721</v>
      </c>
      <c r="H9" s="110" t="s">
        <v>227</v>
      </c>
      <c r="I9" s="56" t="s">
        <v>722</v>
      </c>
      <c r="J9" s="229"/>
      <c r="K9" s="71"/>
      <c r="M9" s="29"/>
      <c r="N9" s="29"/>
      <c r="O9" s="109"/>
    </row>
    <row r="10" spans="2:15" ht="17.25" customHeight="1">
      <c r="B10" s="277" t="s">
        <v>270</v>
      </c>
      <c r="C10" s="278">
        <f>TAB32_DATA_VAL</f>
        <v>36373</v>
      </c>
      <c r="D10" s="87"/>
      <c r="E10" s="230"/>
      <c r="F10" s="87"/>
      <c r="G10" s="31"/>
      <c r="K10" s="71"/>
      <c r="M10" s="125"/>
      <c r="N10" s="30"/>
      <c r="O10" s="109"/>
    </row>
    <row r="11" spans="2:15" ht="17.25" customHeight="1">
      <c r="B11" s="66" t="s">
        <v>281</v>
      </c>
      <c r="C11" s="65">
        <f aca="true" t="shared" si="0" ref="C11:C21">I11</f>
        <v>161.83</v>
      </c>
      <c r="D11" s="87"/>
      <c r="E11" s="230"/>
      <c r="F11" s="87"/>
      <c r="G11" s="238" t="s">
        <v>1409</v>
      </c>
      <c r="H11" s="52" t="s">
        <v>219</v>
      </c>
      <c r="I11" s="912">
        <v>161.83</v>
      </c>
      <c r="J11" s="30"/>
      <c r="K11" s="71"/>
      <c r="M11" s="125"/>
      <c r="N11" s="30"/>
      <c r="O11" s="109"/>
    </row>
    <row r="12" spans="2:15" ht="17.25" customHeight="1">
      <c r="B12" s="66" t="s">
        <v>285</v>
      </c>
      <c r="C12" s="65">
        <f t="shared" si="0"/>
        <v>186.1</v>
      </c>
      <c r="D12" s="87"/>
      <c r="E12" s="230"/>
      <c r="F12" s="87"/>
      <c r="G12" s="239" t="s">
        <v>1410</v>
      </c>
      <c r="H12" s="53" t="s">
        <v>208</v>
      </c>
      <c r="I12" s="914">
        <v>186.1</v>
      </c>
      <c r="J12" s="30"/>
      <c r="K12" s="71"/>
      <c r="M12" s="125"/>
      <c r="N12" s="30"/>
      <c r="O12" s="109"/>
    </row>
    <row r="13" spans="2:15" ht="17.25" customHeight="1">
      <c r="B13" s="66" t="s">
        <v>289</v>
      </c>
      <c r="C13" s="65">
        <f t="shared" si="0"/>
        <v>226.56</v>
      </c>
      <c r="D13" s="87"/>
      <c r="E13" s="230"/>
      <c r="F13" s="87"/>
      <c r="G13" s="239" t="s">
        <v>1411</v>
      </c>
      <c r="H13" s="53" t="s">
        <v>209</v>
      </c>
      <c r="I13" s="914">
        <v>226.56</v>
      </c>
      <c r="J13" s="30"/>
      <c r="K13" s="71"/>
      <c r="M13" s="125"/>
      <c r="N13" s="30"/>
      <c r="O13" s="109"/>
    </row>
    <row r="14" spans="2:15" ht="17.25" customHeight="1">
      <c r="B14" s="66" t="s">
        <v>60</v>
      </c>
      <c r="C14" s="65">
        <f t="shared" si="0"/>
        <v>267.01</v>
      </c>
      <c r="D14" s="87"/>
      <c r="E14" s="230"/>
      <c r="F14" s="87"/>
      <c r="G14" s="239" t="s">
        <v>1412</v>
      </c>
      <c r="H14" s="53" t="s">
        <v>211</v>
      </c>
      <c r="I14" s="914">
        <v>267.01</v>
      </c>
      <c r="J14" s="30"/>
      <c r="K14" s="71"/>
      <c r="M14" s="125"/>
      <c r="N14" s="30"/>
      <c r="O14" s="109"/>
    </row>
    <row r="15" spans="2:15" ht="17.25" customHeight="1">
      <c r="B15" s="66" t="s">
        <v>63</v>
      </c>
      <c r="C15" s="65">
        <f t="shared" si="0"/>
        <v>307.47</v>
      </c>
      <c r="D15" s="87"/>
      <c r="E15" s="230"/>
      <c r="F15" s="87"/>
      <c r="G15" s="239" t="s">
        <v>1413</v>
      </c>
      <c r="H15" s="53" t="s">
        <v>212</v>
      </c>
      <c r="I15" s="914">
        <v>307.47</v>
      </c>
      <c r="J15" s="30"/>
      <c r="K15" s="71"/>
      <c r="M15" s="125"/>
      <c r="N15" s="30"/>
      <c r="O15" s="109"/>
    </row>
    <row r="16" spans="2:15" ht="17.25" customHeight="1">
      <c r="B16" s="66" t="s">
        <v>863</v>
      </c>
      <c r="C16" s="65">
        <f t="shared" si="0"/>
        <v>372.2</v>
      </c>
      <c r="D16" s="87"/>
      <c r="E16" s="230"/>
      <c r="F16" s="87"/>
      <c r="G16" s="239" t="s">
        <v>1414</v>
      </c>
      <c r="H16" s="53" t="s">
        <v>213</v>
      </c>
      <c r="I16" s="914">
        <v>372.2</v>
      </c>
      <c r="J16" s="30"/>
      <c r="K16" s="71"/>
      <c r="M16" s="125"/>
      <c r="N16" s="30"/>
      <c r="O16" s="109"/>
    </row>
    <row r="17" spans="2:15" ht="17.25" customHeight="1">
      <c r="B17" s="66" t="s">
        <v>865</v>
      </c>
      <c r="C17" s="65">
        <f t="shared" si="0"/>
        <v>453.12</v>
      </c>
      <c r="D17" s="87"/>
      <c r="E17" s="230"/>
      <c r="F17" s="87"/>
      <c r="G17" s="239" t="s">
        <v>1415</v>
      </c>
      <c r="H17" s="53" t="s">
        <v>214</v>
      </c>
      <c r="I17" s="914">
        <v>453.12</v>
      </c>
      <c r="J17" s="30"/>
      <c r="K17" s="71"/>
      <c r="M17" s="125"/>
      <c r="N17" s="30"/>
      <c r="O17" s="109"/>
    </row>
    <row r="18" spans="2:15" ht="17.25" customHeight="1">
      <c r="B18" s="66" t="s">
        <v>867</v>
      </c>
      <c r="C18" s="65">
        <f t="shared" si="0"/>
        <v>550.22</v>
      </c>
      <c r="D18" s="87"/>
      <c r="E18" s="230"/>
      <c r="F18" s="87"/>
      <c r="G18" s="239" t="s">
        <v>1416</v>
      </c>
      <c r="H18" s="53" t="s">
        <v>215</v>
      </c>
      <c r="I18" s="914">
        <v>550.22</v>
      </c>
      <c r="J18" s="30"/>
      <c r="K18" s="71"/>
      <c r="M18" s="125"/>
      <c r="N18" s="30"/>
      <c r="O18" s="109"/>
    </row>
    <row r="19" spans="2:15" ht="17.25" customHeight="1">
      <c r="B19" s="66" t="s">
        <v>720</v>
      </c>
      <c r="C19" s="65">
        <f t="shared" si="0"/>
        <v>687.77</v>
      </c>
      <c r="D19" s="87"/>
      <c r="E19" s="230"/>
      <c r="F19" s="87"/>
      <c r="G19" s="239" t="s">
        <v>1302</v>
      </c>
      <c r="H19" s="53" t="s">
        <v>216</v>
      </c>
      <c r="I19" s="914">
        <v>687.77</v>
      </c>
      <c r="J19" s="30"/>
      <c r="K19" s="71"/>
      <c r="M19" s="125"/>
      <c r="N19" s="30"/>
      <c r="O19" s="109"/>
    </row>
    <row r="20" spans="2:15" ht="17.25" customHeight="1">
      <c r="B20" s="66" t="s">
        <v>870</v>
      </c>
      <c r="C20" s="65">
        <f t="shared" si="0"/>
        <v>1031.65</v>
      </c>
      <c r="D20" s="87"/>
      <c r="E20" s="230"/>
      <c r="F20" s="87"/>
      <c r="G20" s="239" t="s">
        <v>1303</v>
      </c>
      <c r="H20" s="53" t="s">
        <v>217</v>
      </c>
      <c r="I20" s="914">
        <v>1031.65</v>
      </c>
      <c r="J20" s="30"/>
      <c r="K20" s="71"/>
      <c r="M20" s="125"/>
      <c r="N20" s="30"/>
      <c r="O20" s="109"/>
    </row>
    <row r="21" spans="2:15" ht="18" customHeight="1" thickBot="1">
      <c r="B21" s="67" t="s">
        <v>871</v>
      </c>
      <c r="C21" s="83">
        <f t="shared" si="0"/>
        <v>1375.54</v>
      </c>
      <c r="D21" s="87"/>
      <c r="E21" s="230"/>
      <c r="F21" s="87"/>
      <c r="G21" s="240" t="s">
        <v>1304</v>
      </c>
      <c r="H21" s="54" t="s">
        <v>218</v>
      </c>
      <c r="I21" s="915">
        <v>1375.54</v>
      </c>
      <c r="J21" s="30"/>
      <c r="K21" s="231"/>
      <c r="L21" s="30"/>
      <c r="M21" s="125"/>
      <c r="N21" s="30"/>
      <c r="O21" s="109"/>
    </row>
    <row r="22" spans="2:15" ht="12">
      <c r="B22" s="86"/>
      <c r="C22" s="87"/>
      <c r="D22" s="87"/>
      <c r="E22" s="230"/>
      <c r="F22" s="87"/>
      <c r="G22" s="227"/>
      <c r="H22" s="29"/>
      <c r="I22" s="30"/>
      <c r="J22" s="30"/>
      <c r="K22" s="231"/>
      <c r="L22" s="30"/>
      <c r="M22" s="125"/>
      <c r="N22" s="30"/>
      <c r="O22" s="109"/>
    </row>
    <row r="23" spans="2:15" ht="12">
      <c r="B23" s="86"/>
      <c r="C23" s="87"/>
      <c r="D23" s="87"/>
      <c r="E23" s="230"/>
      <c r="F23" s="87"/>
      <c r="G23" s="227"/>
      <c r="H23" s="29"/>
      <c r="I23" s="30"/>
      <c r="J23" s="30"/>
      <c r="K23" s="231"/>
      <c r="L23" s="30"/>
      <c r="M23" s="125"/>
      <c r="N23" s="30"/>
      <c r="O23" s="109"/>
    </row>
    <row r="24" spans="2:15" ht="12">
      <c r="B24" s="86"/>
      <c r="C24" s="87"/>
      <c r="D24" s="87"/>
      <c r="E24" s="230"/>
      <c r="F24" s="87"/>
      <c r="G24" s="227"/>
      <c r="H24" s="29"/>
      <c r="I24" s="30"/>
      <c r="J24" s="30"/>
      <c r="K24" s="231"/>
      <c r="L24" s="30"/>
      <c r="M24" s="125"/>
      <c r="N24" s="30"/>
      <c r="O24" s="109"/>
    </row>
    <row r="25" spans="2:15" ht="12">
      <c r="B25" s="86"/>
      <c r="C25" s="87"/>
      <c r="D25" s="87"/>
      <c r="E25" s="230"/>
      <c r="F25" s="87"/>
      <c r="G25" s="227"/>
      <c r="H25" s="29"/>
      <c r="I25" s="30"/>
      <c r="J25" s="30"/>
      <c r="K25" s="231"/>
      <c r="L25" s="30"/>
      <c r="M25" s="125"/>
      <c r="N25" s="30"/>
      <c r="O25" s="109"/>
    </row>
    <row r="26" spans="2:15" ht="12">
      <c r="B26" s="86"/>
      <c r="C26" s="87"/>
      <c r="D26" s="87"/>
      <c r="E26" s="230"/>
      <c r="F26" s="87"/>
      <c r="G26" s="227"/>
      <c r="H26" s="29"/>
      <c r="I26" s="30"/>
      <c r="J26" s="30"/>
      <c r="K26" s="231"/>
      <c r="L26" s="30"/>
      <c r="M26" s="125"/>
      <c r="N26" s="30"/>
      <c r="O26" s="109"/>
    </row>
    <row r="27" spans="2:15" ht="12">
      <c r="B27" s="86"/>
      <c r="C27" s="87"/>
      <c r="D27" s="87"/>
      <c r="E27" s="230"/>
      <c r="F27" s="87"/>
      <c r="G27" s="227"/>
      <c r="H27" s="29"/>
      <c r="I27" s="30"/>
      <c r="J27" s="30"/>
      <c r="K27" s="231"/>
      <c r="L27" s="30"/>
      <c r="M27" s="125"/>
      <c r="N27" s="30"/>
      <c r="O27" s="109"/>
    </row>
    <row r="28" spans="2:15" ht="12">
      <c r="B28" s="86"/>
      <c r="C28" s="87"/>
      <c r="D28" s="87"/>
      <c r="E28" s="230"/>
      <c r="F28" s="87"/>
      <c r="G28" s="227"/>
      <c r="H28" s="29"/>
      <c r="I28" s="30"/>
      <c r="J28" s="30"/>
      <c r="K28" s="231"/>
      <c r="L28" s="30"/>
      <c r="M28" s="125"/>
      <c r="N28" s="30"/>
      <c r="O28" s="109"/>
    </row>
    <row r="29" spans="2:15" ht="12">
      <c r="B29" s="86"/>
      <c r="C29" s="87"/>
      <c r="D29" s="87"/>
      <c r="E29" s="230"/>
      <c r="F29" s="87"/>
      <c r="G29" s="227"/>
      <c r="H29" s="29"/>
      <c r="I29" s="30"/>
      <c r="J29" s="30"/>
      <c r="K29" s="231"/>
      <c r="L29" s="30"/>
      <c r="M29" s="125"/>
      <c r="N29" s="30"/>
      <c r="O29" s="109"/>
    </row>
    <row r="30" spans="2:15" ht="12">
      <c r="B30" s="86"/>
      <c r="C30" s="87"/>
      <c r="D30" s="87"/>
      <c r="E30" s="230"/>
      <c r="F30" s="87"/>
      <c r="G30" s="227"/>
      <c r="H30" s="29"/>
      <c r="I30" s="30"/>
      <c r="J30" s="30"/>
      <c r="K30" s="231"/>
      <c r="L30" s="30"/>
      <c r="M30" s="125"/>
      <c r="N30" s="30"/>
      <c r="O30" s="109"/>
    </row>
    <row r="31" spans="2:15" ht="12">
      <c r="B31" s="86"/>
      <c r="C31" s="87"/>
      <c r="D31" s="87"/>
      <c r="E31" s="230"/>
      <c r="F31" s="87"/>
      <c r="G31" s="227"/>
      <c r="H31" s="29"/>
      <c r="I31" s="30"/>
      <c r="J31" s="30"/>
      <c r="K31" s="231"/>
      <c r="L31" s="30"/>
      <c r="M31" s="125"/>
      <c r="N31" s="30"/>
      <c r="O31" s="109"/>
    </row>
    <row r="32" spans="2:15" ht="12">
      <c r="B32" s="86"/>
      <c r="C32" s="87"/>
      <c r="D32" s="87"/>
      <c r="E32" s="230"/>
      <c r="F32" s="87"/>
      <c r="G32" s="227"/>
      <c r="H32" s="29"/>
      <c r="I32" s="30" t="s">
        <v>1079</v>
      </c>
      <c r="J32" s="30"/>
      <c r="K32" s="231"/>
      <c r="L32" s="30"/>
      <c r="M32" s="125"/>
      <c r="N32" s="30"/>
      <c r="O32" s="109"/>
    </row>
    <row r="33" spans="2:15" ht="12">
      <c r="B33" s="86"/>
      <c r="C33" s="87"/>
      <c r="D33" s="87"/>
      <c r="E33" s="230"/>
      <c r="F33" s="87"/>
      <c r="G33" s="227"/>
      <c r="H33" s="29"/>
      <c r="I33" s="30" t="s">
        <v>1079</v>
      </c>
      <c r="J33" s="30"/>
      <c r="K33" s="71"/>
      <c r="L33" s="29"/>
      <c r="M33" s="29"/>
      <c r="N33" s="30"/>
      <c r="O33" s="109"/>
    </row>
    <row r="34" spans="2:15" ht="12">
      <c r="B34" s="86"/>
      <c r="C34" s="87"/>
      <c r="D34" s="87"/>
      <c r="E34" s="230"/>
      <c r="F34" s="87"/>
      <c r="G34" s="227"/>
      <c r="H34" s="29"/>
      <c r="I34" s="30"/>
      <c r="J34" s="30"/>
      <c r="K34" s="71"/>
      <c r="L34" s="29"/>
      <c r="M34" s="29"/>
      <c r="N34" s="30"/>
      <c r="O34" s="109"/>
    </row>
    <row r="35" spans="2:15" ht="12">
      <c r="B35" s="86"/>
      <c r="C35" s="87"/>
      <c r="D35" s="87"/>
      <c r="E35" s="230"/>
      <c r="F35" s="87"/>
      <c r="G35" s="227"/>
      <c r="H35" s="29"/>
      <c r="I35" s="30"/>
      <c r="J35" s="30"/>
      <c r="K35" s="71"/>
      <c r="L35" s="29"/>
      <c r="M35" s="29"/>
      <c r="N35" s="30"/>
      <c r="O35" s="109"/>
    </row>
    <row r="36" spans="2:15" ht="12">
      <c r="B36" s="86"/>
      <c r="C36" s="87"/>
      <c r="D36" s="87"/>
      <c r="E36" s="230"/>
      <c r="F36" s="87"/>
      <c r="G36" s="227"/>
      <c r="H36" s="29"/>
      <c r="I36" s="30"/>
      <c r="J36" s="30"/>
      <c r="K36" s="71"/>
      <c r="L36" s="29"/>
      <c r="M36" s="29"/>
      <c r="N36" s="30"/>
      <c r="O36" s="109"/>
    </row>
    <row r="37" spans="2:15" ht="12">
      <c r="B37" s="86"/>
      <c r="C37" s="87"/>
      <c r="D37" s="87"/>
      <c r="E37" s="230"/>
      <c r="F37" s="87"/>
      <c r="G37" s="227"/>
      <c r="H37" s="29"/>
      <c r="I37" s="30"/>
      <c r="J37" s="30"/>
      <c r="K37" s="71"/>
      <c r="L37" s="29"/>
      <c r="M37" s="29"/>
      <c r="N37" s="30"/>
      <c r="O37" s="109"/>
    </row>
    <row r="38" spans="2:15" ht="12">
      <c r="B38" s="86"/>
      <c r="C38" s="87"/>
      <c r="D38" s="87"/>
      <c r="E38" s="230"/>
      <c r="F38" s="87"/>
      <c r="G38" s="227"/>
      <c r="H38" s="29"/>
      <c r="I38" s="30"/>
      <c r="J38" s="30"/>
      <c r="K38" s="71"/>
      <c r="L38" s="29"/>
      <c r="M38" s="29"/>
      <c r="N38" s="30"/>
      <c r="O38" s="109"/>
    </row>
    <row r="39" spans="2:15" ht="12">
      <c r="B39" s="86"/>
      <c r="C39" s="87"/>
      <c r="D39" s="87"/>
      <c r="E39" s="230"/>
      <c r="F39" s="87"/>
      <c r="G39" s="227"/>
      <c r="H39" s="29"/>
      <c r="I39" s="30"/>
      <c r="J39" s="30"/>
      <c r="K39" s="71"/>
      <c r="L39" s="29"/>
      <c r="M39" s="29"/>
      <c r="N39" s="30"/>
      <c r="O39" s="109"/>
    </row>
    <row r="40" spans="2:15" ht="12">
      <c r="B40" s="86"/>
      <c r="C40" s="87"/>
      <c r="D40" s="87"/>
      <c r="E40" s="230"/>
      <c r="F40" s="87"/>
      <c r="G40" s="227"/>
      <c r="H40" s="29"/>
      <c r="I40" s="30"/>
      <c r="J40" s="30"/>
      <c r="K40" s="71"/>
      <c r="L40" s="29"/>
      <c r="M40" s="29"/>
      <c r="N40" s="30"/>
      <c r="O40" s="109"/>
    </row>
    <row r="41" spans="2:15" ht="12">
      <c r="B41" s="86"/>
      <c r="C41" s="87"/>
      <c r="D41" s="87"/>
      <c r="E41" s="230"/>
      <c r="F41" s="87"/>
      <c r="G41" s="227"/>
      <c r="H41" s="29"/>
      <c r="I41" s="30"/>
      <c r="J41" s="30"/>
      <c r="K41" s="71"/>
      <c r="L41" s="29"/>
      <c r="M41" s="29"/>
      <c r="N41" s="30"/>
      <c r="O41" s="109"/>
    </row>
    <row r="42" spans="2:15" ht="12">
      <c r="B42" s="86"/>
      <c r="C42" s="87"/>
      <c r="D42" s="87"/>
      <c r="E42" s="230"/>
      <c r="F42" s="87"/>
      <c r="G42" s="227"/>
      <c r="H42" s="29"/>
      <c r="I42" s="30"/>
      <c r="J42" s="30"/>
      <c r="K42" s="71"/>
      <c r="L42" s="29"/>
      <c r="M42" s="29"/>
      <c r="N42" s="30"/>
      <c r="O42" s="109"/>
    </row>
    <row r="43" spans="2:15" ht="12">
      <c r="B43" s="86"/>
      <c r="C43" s="87"/>
      <c r="D43" s="87"/>
      <c r="E43" s="230"/>
      <c r="F43" s="87"/>
      <c r="G43" s="227"/>
      <c r="H43" s="29"/>
      <c r="I43" s="30"/>
      <c r="J43" s="30"/>
      <c r="K43" s="71"/>
      <c r="L43" s="29"/>
      <c r="M43" s="29"/>
      <c r="N43" s="30"/>
      <c r="O43" s="109"/>
    </row>
    <row r="44" spans="2:15" ht="12">
      <c r="B44" s="86"/>
      <c r="C44" s="87"/>
      <c r="D44" s="87"/>
      <c r="E44" s="230"/>
      <c r="F44" s="87"/>
      <c r="G44" s="227"/>
      <c r="H44" s="29"/>
      <c r="I44" s="30"/>
      <c r="J44" s="30"/>
      <c r="K44" s="71"/>
      <c r="L44" s="29"/>
      <c r="M44" s="29"/>
      <c r="N44" s="30"/>
      <c r="O44" s="109"/>
    </row>
    <row r="45" spans="2:15" ht="12">
      <c r="B45" s="86"/>
      <c r="C45" s="87"/>
      <c r="D45" s="87"/>
      <c r="E45" s="232"/>
      <c r="F45" s="236"/>
      <c r="G45" s="233"/>
      <c r="H45" s="113"/>
      <c r="I45" s="115"/>
      <c r="J45" s="115"/>
      <c r="K45" s="75"/>
      <c r="L45" s="29"/>
      <c r="M45" s="29"/>
      <c r="N45" s="30"/>
      <c r="O45" s="109"/>
    </row>
    <row r="46" spans="2:15" ht="12">
      <c r="B46" s="86"/>
      <c r="C46" s="87"/>
      <c r="D46" s="87"/>
      <c r="E46" s="87"/>
      <c r="F46" s="87"/>
      <c r="G46" s="227"/>
      <c r="H46" s="29"/>
      <c r="I46" s="30"/>
      <c r="J46" s="30"/>
      <c r="K46" s="29"/>
      <c r="L46" s="29"/>
      <c r="M46" s="29"/>
      <c r="N46" s="30"/>
      <c r="O46" s="109"/>
    </row>
    <row r="47" spans="2:15" ht="12">
      <c r="B47" s="86"/>
      <c r="C47" s="87"/>
      <c r="D47" s="87"/>
      <c r="E47" s="87"/>
      <c r="F47" s="87"/>
      <c r="G47" s="227"/>
      <c r="H47" s="29"/>
      <c r="I47" s="30"/>
      <c r="J47" s="30"/>
      <c r="K47" s="29"/>
      <c r="L47" s="29"/>
      <c r="M47" s="29"/>
      <c r="N47" s="30"/>
      <c r="O47" s="109"/>
    </row>
    <row r="48" spans="2:15" ht="12">
      <c r="B48" s="86"/>
      <c r="C48" s="87"/>
      <c r="D48" s="87"/>
      <c r="E48" s="87"/>
      <c r="F48" s="87"/>
      <c r="G48" s="227"/>
      <c r="H48" s="29"/>
      <c r="I48" s="30"/>
      <c r="J48" s="30"/>
      <c r="K48" s="29"/>
      <c r="L48" s="29"/>
      <c r="M48" s="29"/>
      <c r="N48" s="30"/>
      <c r="O48" s="109"/>
    </row>
    <row r="49" spans="2:15" ht="12">
      <c r="B49" s="86"/>
      <c r="C49" s="87"/>
      <c r="D49" s="87"/>
      <c r="E49" s="87"/>
      <c r="F49" s="87"/>
      <c r="G49" s="227"/>
      <c r="H49" s="29"/>
      <c r="I49" s="30"/>
      <c r="J49" s="30"/>
      <c r="K49" s="29"/>
      <c r="L49" s="29"/>
      <c r="M49" s="29"/>
      <c r="N49" s="30"/>
      <c r="O49" s="109"/>
    </row>
    <row r="50" spans="2:15" ht="12">
      <c r="B50" s="86"/>
      <c r="C50" s="87"/>
      <c r="D50" s="87"/>
      <c r="E50" s="87"/>
      <c r="F50" s="87"/>
      <c r="G50" s="227"/>
      <c r="H50" s="29"/>
      <c r="I50" s="30"/>
      <c r="J50" s="30"/>
      <c r="K50" s="29"/>
      <c r="L50" s="29"/>
      <c r="M50" s="29"/>
      <c r="N50" s="29"/>
      <c r="O50" s="109"/>
    </row>
    <row r="51" spans="2:15" ht="12">
      <c r="B51" s="86"/>
      <c r="C51" s="87"/>
      <c r="D51" s="87"/>
      <c r="E51" s="87"/>
      <c r="F51" s="87"/>
      <c r="G51" s="227"/>
      <c r="H51" s="29"/>
      <c r="I51" s="30"/>
      <c r="J51" s="30"/>
      <c r="K51" s="125"/>
      <c r="L51" s="112"/>
      <c r="M51" s="125"/>
      <c r="N51" s="30"/>
      <c r="O51" s="109"/>
    </row>
    <row r="52" spans="2:15" ht="12">
      <c r="B52" s="86"/>
      <c r="C52" s="87"/>
      <c r="D52" s="87"/>
      <c r="E52" s="87"/>
      <c r="F52" s="87"/>
      <c r="G52" s="227"/>
      <c r="H52" s="29"/>
      <c r="I52" s="30"/>
      <c r="J52" s="30"/>
      <c r="K52" s="125"/>
      <c r="L52" s="112"/>
      <c r="M52" s="125"/>
      <c r="N52" s="30"/>
      <c r="O52" s="109"/>
    </row>
    <row r="53" spans="2:15" ht="12">
      <c r="B53" s="86"/>
      <c r="C53" s="87"/>
      <c r="D53" s="87"/>
      <c r="E53" s="87"/>
      <c r="F53" s="87"/>
      <c r="G53" s="227"/>
      <c r="H53" s="29"/>
      <c r="I53" s="30"/>
      <c r="J53" s="30"/>
      <c r="K53" s="125"/>
      <c r="L53" s="112"/>
      <c r="M53" s="125"/>
      <c r="N53" s="30"/>
      <c r="O53" s="109"/>
    </row>
    <row r="54" spans="2:15" ht="12">
      <c r="B54" s="86"/>
      <c r="C54" s="87"/>
      <c r="D54" s="87"/>
      <c r="E54" s="87"/>
      <c r="F54" s="87"/>
      <c r="G54" s="227"/>
      <c r="H54" s="29"/>
      <c r="I54" s="29"/>
      <c r="J54" s="29"/>
      <c r="K54" s="29"/>
      <c r="L54" s="29"/>
      <c r="M54" s="29"/>
      <c r="N54" s="29"/>
      <c r="O54" s="109"/>
    </row>
    <row r="55" spans="2:15" ht="12">
      <c r="B55" s="86"/>
      <c r="C55" s="87"/>
      <c r="D55" s="87"/>
      <c r="E55" s="87"/>
      <c r="F55" s="87"/>
      <c r="G55" s="227"/>
      <c r="H55" s="29"/>
      <c r="I55" s="29"/>
      <c r="J55" s="29"/>
      <c r="K55" s="29"/>
      <c r="L55" s="29"/>
      <c r="M55" s="29"/>
      <c r="N55" s="29"/>
      <c r="O55" s="109"/>
    </row>
    <row r="56" spans="2:15" ht="12">
      <c r="B56" s="86"/>
      <c r="C56" s="87"/>
      <c r="D56" s="87"/>
      <c r="E56" s="87"/>
      <c r="F56" s="87"/>
      <c r="G56" s="227"/>
      <c r="H56" s="29"/>
      <c r="I56" s="29"/>
      <c r="J56" s="29"/>
      <c r="K56" s="29"/>
      <c r="L56" s="29"/>
      <c r="M56" s="29"/>
      <c r="N56" s="29"/>
      <c r="O56" s="109"/>
    </row>
    <row r="57" spans="2:15" ht="12">
      <c r="B57" s="86"/>
      <c r="C57" s="87"/>
      <c r="D57" s="87"/>
      <c r="E57" s="87"/>
      <c r="F57" s="87"/>
      <c r="G57" s="227"/>
      <c r="H57" s="30"/>
      <c r="I57" s="30"/>
      <c r="J57" s="30"/>
      <c r="K57" s="125"/>
      <c r="L57" s="115"/>
      <c r="M57" s="234"/>
      <c r="N57" s="115"/>
      <c r="O57" s="116"/>
    </row>
    <row r="58" spans="2:11" ht="12">
      <c r="B58" s="86"/>
      <c r="C58" s="87"/>
      <c r="D58" s="87"/>
      <c r="E58" s="87"/>
      <c r="F58" s="87"/>
      <c r="G58" s="227"/>
      <c r="H58" s="29"/>
      <c r="I58" s="29"/>
      <c r="J58" s="29"/>
      <c r="K58" s="29"/>
    </row>
    <row r="59" spans="2:11" ht="12">
      <c r="B59" s="86"/>
      <c r="C59" s="87"/>
      <c r="D59" s="87"/>
      <c r="E59" s="87"/>
      <c r="F59" s="87"/>
      <c r="G59" s="227"/>
      <c r="H59" s="29"/>
      <c r="I59" s="29"/>
      <c r="J59" s="29"/>
      <c r="K59" s="29"/>
    </row>
    <row r="60" spans="2:11" ht="12">
      <c r="B60" s="86"/>
      <c r="C60" s="87"/>
      <c r="D60" s="87"/>
      <c r="E60" s="87"/>
      <c r="F60" s="87"/>
      <c r="G60" s="227"/>
      <c r="H60" s="29"/>
      <c r="I60" s="29"/>
      <c r="J60" s="29"/>
      <c r="K60" s="29"/>
    </row>
    <row r="61" spans="2:11" ht="12">
      <c r="B61" s="86"/>
      <c r="C61" s="87"/>
      <c r="D61" s="87"/>
      <c r="E61" s="87"/>
      <c r="F61" s="87"/>
      <c r="G61" s="227"/>
      <c r="H61" s="29"/>
      <c r="I61" s="29"/>
      <c r="J61" s="29"/>
      <c r="K61" s="29"/>
    </row>
    <row r="62" spans="2:11" ht="12">
      <c r="B62" s="86"/>
      <c r="C62" s="87"/>
      <c r="D62" s="87"/>
      <c r="E62" s="87"/>
      <c r="F62" s="87"/>
      <c r="G62" s="227"/>
      <c r="H62" s="29"/>
      <c r="I62" s="29"/>
      <c r="J62" s="29"/>
      <c r="K62" s="29"/>
    </row>
    <row r="63" spans="2:11" ht="12">
      <c r="B63" s="86"/>
      <c r="C63" s="87"/>
      <c r="D63" s="87"/>
      <c r="E63" s="87"/>
      <c r="F63" s="87"/>
      <c r="G63" s="227"/>
      <c r="H63" s="29"/>
      <c r="I63" s="29"/>
      <c r="J63" s="29"/>
      <c r="K63" s="29"/>
    </row>
    <row r="64" spans="2:11" ht="12">
      <c r="B64" s="86"/>
      <c r="C64" s="87"/>
      <c r="D64" s="87"/>
      <c r="E64" s="87"/>
      <c r="F64" s="87"/>
      <c r="G64" s="227"/>
      <c r="H64" s="29"/>
      <c r="I64" s="29"/>
      <c r="J64" s="29"/>
      <c r="K64" s="29"/>
    </row>
    <row r="65" spans="2:11" ht="12">
      <c r="B65" s="86"/>
      <c r="C65" s="87"/>
      <c r="D65" s="87"/>
      <c r="E65" s="87"/>
      <c r="F65" s="87"/>
      <c r="G65" s="227"/>
      <c r="H65" s="29"/>
      <c r="I65" s="29"/>
      <c r="J65" s="29"/>
      <c r="K65" s="29"/>
    </row>
    <row r="66" spans="2:11" ht="12">
      <c r="B66" s="86"/>
      <c r="C66" s="87"/>
      <c r="D66" s="87"/>
      <c r="E66" s="87"/>
      <c r="F66" s="87"/>
      <c r="G66" s="227"/>
      <c r="H66" s="29"/>
      <c r="I66" s="29"/>
      <c r="J66" s="29"/>
      <c r="K66" s="29"/>
    </row>
    <row r="67" spans="2:11" ht="12">
      <c r="B67" s="86"/>
      <c r="C67" s="87"/>
      <c r="D67" s="87"/>
      <c r="E67" s="87"/>
      <c r="F67" s="87"/>
      <c r="G67" s="227"/>
      <c r="H67" s="29"/>
      <c r="I67" s="29"/>
      <c r="J67" s="29"/>
      <c r="K67" s="29"/>
    </row>
    <row r="68" spans="2:11" ht="12">
      <c r="B68" s="86"/>
      <c r="C68" s="87"/>
      <c r="D68" s="87"/>
      <c r="E68" s="87"/>
      <c r="F68" s="87"/>
      <c r="G68" s="227"/>
      <c r="H68" s="29"/>
      <c r="I68" s="29"/>
      <c r="J68" s="29"/>
      <c r="K68" s="29"/>
    </row>
    <row r="69" spans="2:11" ht="12">
      <c r="B69" s="86"/>
      <c r="C69" s="87"/>
      <c r="D69" s="87"/>
      <c r="E69" s="87"/>
      <c r="F69" s="87"/>
      <c r="G69" s="227"/>
      <c r="H69" s="29"/>
      <c r="I69" s="29"/>
      <c r="J69" s="29"/>
      <c r="K69" s="29"/>
    </row>
    <row r="70" spans="2:11" ht="12">
      <c r="B70" s="86"/>
      <c r="C70" s="87"/>
      <c r="D70" s="87"/>
      <c r="E70" s="87"/>
      <c r="F70" s="87"/>
      <c r="G70" s="227"/>
      <c r="H70" s="29"/>
      <c r="I70" s="29"/>
      <c r="J70" s="29"/>
      <c r="K70" s="29"/>
    </row>
    <row r="71" spans="2:11" ht="12">
      <c r="B71" s="86"/>
      <c r="C71" s="87"/>
      <c r="D71" s="87"/>
      <c r="E71" s="87"/>
      <c r="F71" s="87"/>
      <c r="G71" s="227"/>
      <c r="H71" s="29"/>
      <c r="I71" s="29"/>
      <c r="J71" s="29"/>
      <c r="K71" s="29"/>
    </row>
    <row r="72" spans="2:11" ht="12">
      <c r="B72" s="86"/>
      <c r="C72" s="87"/>
      <c r="D72" s="87"/>
      <c r="E72" s="87"/>
      <c r="F72" s="87"/>
      <c r="G72" s="227"/>
      <c r="H72" s="29"/>
      <c r="I72" s="29"/>
      <c r="J72" s="29"/>
      <c r="K72" s="29"/>
    </row>
    <row r="73" spans="2:11" ht="12">
      <c r="B73" s="86"/>
      <c r="C73" s="87"/>
      <c r="D73" s="87"/>
      <c r="E73" s="87"/>
      <c r="F73" s="87"/>
      <c r="G73" s="227"/>
      <c r="H73" s="29"/>
      <c r="I73" s="29"/>
      <c r="J73" s="29"/>
      <c r="K73" s="29"/>
    </row>
    <row r="74" spans="2:11" ht="12">
      <c r="B74" s="86"/>
      <c r="C74" s="87"/>
      <c r="D74" s="87"/>
      <c r="E74" s="87"/>
      <c r="F74" s="87"/>
      <c r="G74" s="227"/>
      <c r="H74" s="29"/>
      <c r="I74" s="29"/>
      <c r="J74" s="29"/>
      <c r="K74" s="29"/>
    </row>
    <row r="75" spans="2:11" ht="12">
      <c r="B75" s="86"/>
      <c r="C75" s="87"/>
      <c r="D75" s="87"/>
      <c r="E75" s="87"/>
      <c r="F75" s="87"/>
      <c r="G75" s="227"/>
      <c r="H75" s="29"/>
      <c r="I75" s="29"/>
      <c r="J75" s="29"/>
      <c r="K75" s="29"/>
    </row>
    <row r="76" spans="2:11" ht="12">
      <c r="B76" s="86"/>
      <c r="C76" s="87"/>
      <c r="D76" s="87"/>
      <c r="E76" s="87"/>
      <c r="F76" s="87"/>
      <c r="G76" s="227"/>
      <c r="H76" s="29"/>
      <c r="I76" s="29"/>
      <c r="J76" s="29"/>
      <c r="K76" s="29"/>
    </row>
    <row r="77" spans="2:11" ht="12">
      <c r="B77" s="86"/>
      <c r="C77" s="87"/>
      <c r="D77" s="87"/>
      <c r="E77" s="87"/>
      <c r="F77" s="87"/>
      <c r="G77" s="227"/>
      <c r="H77" s="29"/>
      <c r="I77" s="29"/>
      <c r="J77" s="29"/>
      <c r="K77" s="29"/>
    </row>
    <row r="78" spans="4:11" ht="12">
      <c r="D78" s="87"/>
      <c r="E78" s="87"/>
      <c r="F78" s="87"/>
      <c r="G78" s="227"/>
      <c r="H78" s="29"/>
      <c r="I78" s="29"/>
      <c r="J78" s="29"/>
      <c r="K78" s="29"/>
    </row>
    <row r="79" spans="2:7" ht="12">
      <c r="B79" s="86"/>
      <c r="C79" s="87"/>
      <c r="D79" s="87"/>
      <c r="E79" s="87"/>
      <c r="F79" s="87"/>
      <c r="G79" s="227"/>
    </row>
    <row r="80" spans="2:7" ht="12">
      <c r="B80" s="86"/>
      <c r="C80" s="87"/>
      <c r="D80" s="87"/>
      <c r="E80" s="87"/>
      <c r="F80" s="87"/>
      <c r="G80" s="227"/>
    </row>
    <row r="81" spans="2:7" ht="12">
      <c r="B81" s="86"/>
      <c r="C81" s="87"/>
      <c r="D81" s="87"/>
      <c r="E81" s="87"/>
      <c r="F81" s="87"/>
      <c r="G81" s="227"/>
    </row>
    <row r="82" spans="2:7" ht="12">
      <c r="B82" s="29"/>
      <c r="C82" s="29"/>
      <c r="D82" s="87"/>
      <c r="E82" s="87"/>
      <c r="F82" s="87"/>
      <c r="G82" s="227"/>
    </row>
    <row r="83" spans="2:7" ht="12">
      <c r="B83" s="29"/>
      <c r="C83" s="29"/>
      <c r="D83" s="87"/>
      <c r="E83" s="87"/>
      <c r="F83" s="87"/>
      <c r="G83" s="227"/>
    </row>
    <row r="84" spans="4:7" ht="12">
      <c r="D84" s="87"/>
      <c r="E84" s="87"/>
      <c r="F84" s="87"/>
      <c r="G84" s="227"/>
    </row>
    <row r="85" spans="4:7" ht="12">
      <c r="D85" s="87"/>
      <c r="E85" s="87"/>
      <c r="F85" s="87"/>
      <c r="G85" s="227"/>
    </row>
    <row r="86" spans="4:7" ht="12">
      <c r="D86" s="87"/>
      <c r="E86" s="87"/>
      <c r="F86" s="87"/>
      <c r="G86" s="227"/>
    </row>
    <row r="87" spans="4:7" ht="12">
      <c r="D87" s="87"/>
      <c r="E87" s="87"/>
      <c r="F87" s="87"/>
      <c r="G87" s="227"/>
    </row>
    <row r="88" spans="4:7" ht="12">
      <c r="D88" s="87"/>
      <c r="E88" s="87"/>
      <c r="F88" s="87"/>
      <c r="G88" s="227"/>
    </row>
    <row r="89" spans="4:7" ht="12">
      <c r="D89" s="87"/>
      <c r="E89" s="87"/>
      <c r="F89" s="87"/>
      <c r="G89" s="227"/>
    </row>
    <row r="90" spans="2:7" ht="12">
      <c r="B90" s="81"/>
      <c r="C90" s="81"/>
      <c r="D90" s="87"/>
      <c r="E90" s="87"/>
      <c r="F90" s="87"/>
      <c r="G90" s="227"/>
    </row>
    <row r="91" spans="2:7" ht="12">
      <c r="B91" s="81"/>
      <c r="C91" s="81"/>
      <c r="D91" s="87"/>
      <c r="E91" s="87"/>
      <c r="F91" s="87"/>
      <c r="G91" s="227"/>
    </row>
    <row r="92" spans="2:7" ht="12">
      <c r="B92" s="81"/>
      <c r="C92" s="81"/>
      <c r="D92" s="87"/>
      <c r="E92" s="87"/>
      <c r="F92" s="87"/>
      <c r="G92" s="227"/>
    </row>
    <row r="93" spans="2:7" ht="12">
      <c r="B93" s="81"/>
      <c r="C93" s="81"/>
      <c r="D93" s="87"/>
      <c r="E93" s="87"/>
      <c r="F93" s="87"/>
      <c r="G93" s="227"/>
    </row>
    <row r="94" spans="2:7" ht="12">
      <c r="B94" s="81"/>
      <c r="C94" s="81"/>
      <c r="D94" s="87"/>
      <c r="E94" s="87"/>
      <c r="F94" s="87"/>
      <c r="G94" s="227"/>
    </row>
    <row r="95" spans="2:7" ht="12">
      <c r="B95" s="81"/>
      <c r="C95" s="81"/>
      <c r="D95" s="87"/>
      <c r="E95" s="87"/>
      <c r="F95" s="87"/>
      <c r="G95" s="227"/>
    </row>
    <row r="96" spans="2:7" ht="12">
      <c r="B96" s="81"/>
      <c r="C96" s="81"/>
      <c r="D96" s="87"/>
      <c r="E96" s="87"/>
      <c r="F96" s="87"/>
      <c r="G96" s="227"/>
    </row>
    <row r="97" spans="2:7" ht="12">
      <c r="B97" s="81"/>
      <c r="C97" s="81"/>
      <c r="D97" s="29"/>
      <c r="E97" s="29"/>
      <c r="F97" s="29"/>
      <c r="G97" s="227"/>
    </row>
    <row r="98" spans="2:7" ht="12">
      <c r="B98" s="81"/>
      <c r="C98" s="81"/>
      <c r="D98" s="29"/>
      <c r="E98" s="29"/>
      <c r="F98" s="29"/>
      <c r="G98" s="227"/>
    </row>
    <row r="99" spans="2:3" ht="12">
      <c r="B99" s="81"/>
      <c r="C99" s="81"/>
    </row>
    <row r="100" spans="2:3" ht="12">
      <c r="B100" s="81"/>
      <c r="C100" s="81"/>
    </row>
    <row r="101" spans="2:3" ht="12">
      <c r="B101" s="81"/>
      <c r="C101" s="81"/>
    </row>
    <row r="102" spans="2:3" ht="12">
      <c r="B102" s="81"/>
      <c r="C102" s="81"/>
    </row>
    <row r="103" spans="2:3" ht="12">
      <c r="B103" s="81"/>
      <c r="C103" s="81"/>
    </row>
    <row r="104" spans="2:3" ht="12">
      <c r="B104" s="81"/>
      <c r="C104" s="81"/>
    </row>
    <row r="105" spans="2:7" ht="12">
      <c r="B105" s="81"/>
      <c r="C105" s="81"/>
      <c r="D105" s="81"/>
      <c r="E105" s="81"/>
      <c r="F105" s="81"/>
      <c r="G105" s="235"/>
    </row>
    <row r="106" spans="2:7" ht="12">
      <c r="B106" s="81"/>
      <c r="C106" s="81"/>
      <c r="D106" s="81"/>
      <c r="E106" s="81"/>
      <c r="F106" s="81"/>
      <c r="G106" s="235"/>
    </row>
    <row r="107" spans="2:7" ht="12">
      <c r="B107" s="81"/>
      <c r="C107" s="81"/>
      <c r="D107" s="81"/>
      <c r="E107" s="81"/>
      <c r="F107" s="81"/>
      <c r="G107" s="235"/>
    </row>
    <row r="108" spans="2:7" ht="12">
      <c r="B108" s="81"/>
      <c r="C108" s="81"/>
      <c r="D108" s="81"/>
      <c r="E108" s="81"/>
      <c r="F108" s="81"/>
      <c r="G108" s="235"/>
    </row>
    <row r="109" spans="2:7" ht="12">
      <c r="B109" s="81"/>
      <c r="C109" s="81"/>
      <c r="D109" s="81"/>
      <c r="E109" s="81"/>
      <c r="F109" s="81"/>
      <c r="G109" s="235"/>
    </row>
    <row r="110" spans="2:7" ht="12">
      <c r="B110" s="81"/>
      <c r="C110" s="81"/>
      <c r="D110" s="81"/>
      <c r="E110" s="81"/>
      <c r="F110" s="81"/>
      <c r="G110" s="235"/>
    </row>
    <row r="111" spans="4:7" ht="12">
      <c r="D111" s="81"/>
      <c r="E111" s="81"/>
      <c r="F111" s="81"/>
      <c r="G111" s="235"/>
    </row>
    <row r="112" spans="4:7" ht="12">
      <c r="D112" s="81"/>
      <c r="E112" s="81"/>
      <c r="F112" s="81"/>
      <c r="G112" s="235"/>
    </row>
    <row r="113" spans="4:7" ht="12">
      <c r="D113" s="81"/>
      <c r="E113" s="81"/>
      <c r="F113" s="81"/>
      <c r="G113" s="235"/>
    </row>
    <row r="114" spans="4:7" ht="12">
      <c r="D114" s="81"/>
      <c r="E114" s="81"/>
      <c r="F114" s="81"/>
      <c r="G114" s="235"/>
    </row>
    <row r="115" spans="4:7" ht="12">
      <c r="D115" s="81"/>
      <c r="E115" s="81"/>
      <c r="F115" s="81"/>
      <c r="G115" s="235"/>
    </row>
    <row r="116" spans="4:7" ht="12">
      <c r="D116" s="81"/>
      <c r="E116" s="81"/>
      <c r="F116" s="81"/>
      <c r="G116" s="235"/>
    </row>
    <row r="117" spans="4:7" ht="12">
      <c r="D117" s="81"/>
      <c r="E117" s="81"/>
      <c r="F117" s="81"/>
      <c r="G117" s="235"/>
    </row>
    <row r="118" spans="4:7" ht="12">
      <c r="D118" s="81"/>
      <c r="E118" s="81"/>
      <c r="F118" s="81"/>
      <c r="G118" s="235"/>
    </row>
    <row r="119" spans="4:7" ht="12">
      <c r="D119" s="81"/>
      <c r="E119" s="81"/>
      <c r="F119" s="81"/>
      <c r="G119" s="235"/>
    </row>
    <row r="120" spans="4:7" ht="12">
      <c r="D120" s="81"/>
      <c r="E120" s="81"/>
      <c r="F120" s="81"/>
      <c r="G120" s="235"/>
    </row>
    <row r="121" spans="4:7" ht="12">
      <c r="D121" s="81"/>
      <c r="E121" s="81"/>
      <c r="F121" s="81"/>
      <c r="G121" s="235"/>
    </row>
    <row r="122" spans="4:7" ht="12">
      <c r="D122" s="81"/>
      <c r="E122" s="81"/>
      <c r="F122" s="81"/>
      <c r="G122" s="235"/>
    </row>
    <row r="123" spans="4:7" ht="12">
      <c r="D123" s="81"/>
      <c r="E123" s="81"/>
      <c r="F123" s="81"/>
      <c r="G123" s="235"/>
    </row>
    <row r="124" spans="4:7" ht="12">
      <c r="D124" s="81"/>
      <c r="E124" s="81"/>
      <c r="F124" s="81"/>
      <c r="G124" s="235"/>
    </row>
    <row r="125" spans="4:7" ht="12">
      <c r="D125" s="81"/>
      <c r="E125" s="81"/>
      <c r="F125" s="81"/>
      <c r="G125" s="235"/>
    </row>
  </sheetData>
  <sheetProtection/>
  <mergeCells count="5">
    <mergeCell ref="E3:F3"/>
    <mergeCell ref="G3:I3"/>
    <mergeCell ref="G4:I4"/>
    <mergeCell ref="J4:K4"/>
    <mergeCell ref="J3:K3"/>
  </mergeCells>
  <printOptions horizontalCentered="1"/>
  <pageMargins left="0.5511811023622047" right="0.35433070866141736" top="0.984251968503937" bottom="0.7086614173228347" header="0.5118110236220472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120"/>
  <sheetViews>
    <sheetView zoomScalePageLayoutView="0" workbookViewId="0" topLeftCell="A1">
      <selection activeCell="B10" sqref="B10:C32"/>
    </sheetView>
  </sheetViews>
  <sheetFormatPr defaultColWidth="9.140625" defaultRowHeight="12.75"/>
  <cols>
    <col min="1" max="1" width="9.140625" style="243" customWidth="1"/>
    <col min="2" max="2" width="8.7109375" style="243" hidden="1" customWidth="1"/>
    <col min="3" max="3" width="8.00390625" style="243" hidden="1" customWidth="1"/>
    <col min="4" max="4" width="6.7109375" style="243" hidden="1" customWidth="1"/>
    <col min="5" max="5" width="10.421875" style="243" customWidth="1"/>
    <col min="6" max="6" width="10.7109375" style="243" customWidth="1"/>
    <col min="7" max="7" width="10.421875" style="263" customWidth="1"/>
    <col min="8" max="8" width="15.28125" style="267" customWidth="1"/>
    <col min="9" max="9" width="8.8515625" style="243" customWidth="1"/>
    <col min="10" max="11" width="10.57421875" style="243" customWidth="1"/>
    <col min="12" max="12" width="14.00390625" style="243" customWidth="1"/>
    <col min="13" max="13" width="8.28125" style="243" customWidth="1"/>
    <col min="14" max="14" width="15.00390625" style="243" customWidth="1"/>
    <col min="15" max="15" width="5.57421875" style="243" customWidth="1"/>
    <col min="16" max="16" width="2.7109375" style="243" customWidth="1"/>
    <col min="17" max="16384" width="9.140625" style="243" customWidth="1"/>
  </cols>
  <sheetData>
    <row r="2" spans="5:19" ht="15">
      <c r="E2" s="242"/>
      <c r="F2" s="220"/>
      <c r="G2" s="222"/>
      <c r="H2" s="220"/>
      <c r="I2" s="220"/>
      <c r="J2" s="220"/>
      <c r="K2" s="241"/>
      <c r="L2" s="245"/>
      <c r="M2" s="245"/>
      <c r="N2" s="245"/>
      <c r="O2" s="245"/>
      <c r="R2" s="246"/>
      <c r="S2" s="246"/>
    </row>
    <row r="3" spans="5:15" ht="15">
      <c r="E3" s="1280" t="s">
        <v>274</v>
      </c>
      <c r="F3" s="1223"/>
      <c r="G3" s="1557" t="s">
        <v>222</v>
      </c>
      <c r="H3" s="1557"/>
      <c r="I3" s="1557"/>
      <c r="J3" s="1223" t="s">
        <v>1080</v>
      </c>
      <c r="K3" s="1263"/>
      <c r="L3" s="245"/>
      <c r="M3" s="245"/>
      <c r="N3" s="244"/>
      <c r="O3" s="248"/>
    </row>
    <row r="4" spans="5:15" ht="15">
      <c r="E4" s="217"/>
      <c r="F4" s="98"/>
      <c r="G4" s="1557" t="s">
        <v>223</v>
      </c>
      <c r="H4" s="1557"/>
      <c r="I4" s="1557"/>
      <c r="J4" s="1264">
        <f>VLOOKUP("TV COMISS EXTRAORD 01 40H",RHE,5,FALSE)</f>
        <v>41091</v>
      </c>
      <c r="K4" s="1265">
        <f>VLOOKUP("TV COMISS EXTRAORD 01 40H",RHE,10,FALSE)</f>
        <v>804.4</v>
      </c>
      <c r="L4" s="245"/>
      <c r="M4" s="245"/>
      <c r="N4" s="244"/>
      <c r="O4" s="245"/>
    </row>
    <row r="5" spans="5:15" ht="15">
      <c r="E5" s="221"/>
      <c r="F5" s="209"/>
      <c r="G5" s="223"/>
      <c r="H5" s="209"/>
      <c r="I5" s="209"/>
      <c r="J5" s="209"/>
      <c r="K5" s="218"/>
      <c r="L5" s="245"/>
      <c r="M5" s="245"/>
      <c r="N5" s="245"/>
      <c r="O5" s="245"/>
    </row>
    <row r="6" spans="5:15" ht="12.75">
      <c r="E6" s="249"/>
      <c r="F6" s="250"/>
      <c r="G6" s="264"/>
      <c r="H6" s="268"/>
      <c r="I6" s="250"/>
      <c r="J6" s="250"/>
      <c r="K6" s="251"/>
      <c r="L6" s="250"/>
      <c r="M6" s="250"/>
      <c r="N6" s="250"/>
      <c r="O6" s="16"/>
    </row>
    <row r="7" spans="5:15" ht="12.75">
      <c r="E7" s="249"/>
      <c r="F7" s="250"/>
      <c r="G7" s="264"/>
      <c r="H7" s="268"/>
      <c r="I7" s="250"/>
      <c r="J7" s="250"/>
      <c r="K7" s="251"/>
      <c r="L7" s="250"/>
      <c r="M7" s="250"/>
      <c r="N7" s="250"/>
      <c r="O7" s="16"/>
    </row>
    <row r="8" spans="2:15" ht="12.75">
      <c r="B8" s="285"/>
      <c r="C8" s="285"/>
      <c r="E8" s="249"/>
      <c r="F8" s="250"/>
      <c r="G8" s="264"/>
      <c r="K8" s="251"/>
      <c r="M8" s="250"/>
      <c r="N8" s="250"/>
      <c r="O8" s="16"/>
    </row>
    <row r="9" spans="2:15" ht="18" customHeight="1" thickBot="1">
      <c r="B9" s="285"/>
      <c r="C9" s="285"/>
      <c r="D9" s="252"/>
      <c r="E9" s="253"/>
      <c r="F9" s="252"/>
      <c r="G9" s="237" t="s">
        <v>721</v>
      </c>
      <c r="H9" s="294" t="s">
        <v>227</v>
      </c>
      <c r="I9" s="56" t="s">
        <v>722</v>
      </c>
      <c r="J9" s="254"/>
      <c r="K9" s="251"/>
      <c r="M9" s="250"/>
      <c r="N9" s="250"/>
      <c r="O9" s="16"/>
    </row>
    <row r="10" spans="2:15" ht="18" customHeight="1">
      <c r="B10" s="286" t="s">
        <v>882</v>
      </c>
      <c r="C10" s="287">
        <f>TAB33_DATA_VAL</f>
        <v>41091</v>
      </c>
      <c r="D10" s="255"/>
      <c r="E10" s="256"/>
      <c r="F10" s="255"/>
      <c r="G10" s="295"/>
      <c r="H10" s="296"/>
      <c r="I10" s="297"/>
      <c r="J10" s="250"/>
      <c r="K10" s="251"/>
      <c r="M10" s="250"/>
      <c r="N10" s="250"/>
      <c r="O10" s="16"/>
    </row>
    <row r="11" spans="2:15" ht="17.25" customHeight="1">
      <c r="B11" s="288" t="s">
        <v>281</v>
      </c>
      <c r="C11" s="289">
        <f aca="true" t="shared" si="0" ref="C11:C20">I11</f>
        <v>804.4</v>
      </c>
      <c r="D11" s="255"/>
      <c r="E11" s="256"/>
      <c r="F11" s="255"/>
      <c r="G11" s="298" t="s">
        <v>1409</v>
      </c>
      <c r="H11" s="301" t="s">
        <v>250</v>
      </c>
      <c r="I11" s="909">
        <f>VLOOKUP("TV COMISS EXTRAORD 01 40H",RHE,10,FALSE)</f>
        <v>804.4</v>
      </c>
      <c r="J11" s="18"/>
      <c r="K11" s="251"/>
      <c r="M11" s="24"/>
      <c r="N11" s="18"/>
      <c r="O11" s="16"/>
    </row>
    <row r="12" spans="2:15" ht="17.25" customHeight="1">
      <c r="B12" s="288" t="s">
        <v>285</v>
      </c>
      <c r="C12" s="289">
        <f t="shared" si="0"/>
        <v>965.23</v>
      </c>
      <c r="D12" s="255"/>
      <c r="E12" s="256"/>
      <c r="F12" s="255"/>
      <c r="G12" s="299" t="s">
        <v>1410</v>
      </c>
      <c r="H12" s="302" t="s">
        <v>229</v>
      </c>
      <c r="I12" s="910">
        <f>VLOOKUP("TV COMISS EXTRAORD 02 40H",RHE,10,FALSE)</f>
        <v>965.23</v>
      </c>
      <c r="J12" s="18"/>
      <c r="K12" s="251"/>
      <c r="M12" s="24"/>
      <c r="N12" s="18"/>
      <c r="O12" s="16"/>
    </row>
    <row r="13" spans="2:15" ht="17.25" customHeight="1">
      <c r="B13" s="288" t="s">
        <v>289</v>
      </c>
      <c r="C13" s="289">
        <f t="shared" si="0"/>
        <v>1125.94</v>
      </c>
      <c r="D13" s="255"/>
      <c r="E13" s="256"/>
      <c r="F13" s="255"/>
      <c r="G13" s="299" t="s">
        <v>1411</v>
      </c>
      <c r="H13" s="302" t="s">
        <v>230</v>
      </c>
      <c r="I13" s="910">
        <f>VLOOKUP("TV COMISS EXTRAORD 03 40H",RHE,10,FALSE)</f>
        <v>1125.94</v>
      </c>
      <c r="J13" s="18"/>
      <c r="K13" s="251"/>
      <c r="M13" s="24"/>
      <c r="N13" s="18"/>
      <c r="O13" s="16"/>
    </row>
    <row r="14" spans="2:15" ht="17.25" customHeight="1">
      <c r="B14" s="288" t="s">
        <v>60</v>
      </c>
      <c r="C14" s="289">
        <f t="shared" si="0"/>
        <v>1287.03</v>
      </c>
      <c r="D14" s="255"/>
      <c r="E14" s="256"/>
      <c r="F14" s="255"/>
      <c r="G14" s="299" t="s">
        <v>1412</v>
      </c>
      <c r="H14" s="302" t="s">
        <v>231</v>
      </c>
      <c r="I14" s="910">
        <f>VLOOKUP("TV COMISS EXTRAORD 04 40H",RHE,10,FALSE)</f>
        <v>1287.03</v>
      </c>
      <c r="J14" s="18"/>
      <c r="K14" s="251"/>
      <c r="M14" s="24"/>
      <c r="N14" s="18"/>
      <c r="O14" s="16"/>
    </row>
    <row r="15" spans="2:15" ht="17.25" customHeight="1">
      <c r="B15" s="288" t="s">
        <v>63</v>
      </c>
      <c r="C15" s="289">
        <f t="shared" si="0"/>
        <v>1447.73</v>
      </c>
      <c r="D15" s="255"/>
      <c r="E15" s="256"/>
      <c r="F15" s="255"/>
      <c r="G15" s="299" t="s">
        <v>1413</v>
      </c>
      <c r="H15" s="302" t="s">
        <v>232</v>
      </c>
      <c r="I15" s="910">
        <f>VLOOKUP("TV COMISS EXTRAORD 05 40H",RHE,10,FALSE)</f>
        <v>1447.73</v>
      </c>
      <c r="J15" s="18"/>
      <c r="K15" s="251"/>
      <c r="M15" s="24"/>
      <c r="N15" s="18"/>
      <c r="O15" s="16"/>
    </row>
    <row r="16" spans="2:15" ht="17.25" customHeight="1">
      <c r="B16" s="288" t="s">
        <v>863</v>
      </c>
      <c r="C16" s="289">
        <f t="shared" si="0"/>
        <v>1608.42</v>
      </c>
      <c r="D16" s="255"/>
      <c r="E16" s="256"/>
      <c r="F16" s="255"/>
      <c r="G16" s="299" t="s">
        <v>1414</v>
      </c>
      <c r="H16" s="302" t="s">
        <v>233</v>
      </c>
      <c r="I16" s="910">
        <f>VLOOKUP("TV COMISS EXTRAORD 06 40H",RHE,10,FALSE)</f>
        <v>1608.42</v>
      </c>
      <c r="J16" s="18"/>
      <c r="K16" s="251"/>
      <c r="M16" s="24"/>
      <c r="N16" s="18"/>
      <c r="O16" s="16"/>
    </row>
    <row r="17" spans="2:15" ht="17.25" customHeight="1">
      <c r="B17" s="288" t="s">
        <v>865</v>
      </c>
      <c r="C17" s="289">
        <f t="shared" si="0"/>
        <v>1769.38</v>
      </c>
      <c r="D17" s="255"/>
      <c r="E17" s="256"/>
      <c r="F17" s="255"/>
      <c r="G17" s="299" t="s">
        <v>1415</v>
      </c>
      <c r="H17" s="302" t="s">
        <v>234</v>
      </c>
      <c r="I17" s="910">
        <f>VLOOKUP("TV COMISS EXTRAORD 07 40H",RHE,10,FALSE)</f>
        <v>1769.38</v>
      </c>
      <c r="J17" s="18"/>
      <c r="K17" s="251"/>
      <c r="M17" s="24"/>
      <c r="N17" s="18"/>
      <c r="O17" s="16"/>
    </row>
    <row r="18" spans="2:15" ht="17.25" customHeight="1">
      <c r="B18" s="288" t="s">
        <v>867</v>
      </c>
      <c r="C18" s="289">
        <f t="shared" si="0"/>
        <v>1930.07</v>
      </c>
      <c r="D18" s="255"/>
      <c r="E18" s="256"/>
      <c r="F18" s="255"/>
      <c r="G18" s="299" t="s">
        <v>1416</v>
      </c>
      <c r="H18" s="302" t="s">
        <v>235</v>
      </c>
      <c r="I18" s="910">
        <f>VLOOKUP("TV COMISS EXTRAORD 08 40H",RHE,10,FALSE)</f>
        <v>1930.07</v>
      </c>
      <c r="J18" s="18"/>
      <c r="K18" s="251"/>
      <c r="M18" s="24"/>
      <c r="N18" s="18"/>
      <c r="O18" s="16"/>
    </row>
    <row r="19" spans="2:15" ht="17.25" customHeight="1">
      <c r="B19" s="288" t="s">
        <v>868</v>
      </c>
      <c r="C19" s="289">
        <f t="shared" si="0"/>
        <v>2090.9</v>
      </c>
      <c r="D19" s="255"/>
      <c r="E19" s="256"/>
      <c r="F19" s="255"/>
      <c r="G19" s="299" t="s">
        <v>1417</v>
      </c>
      <c r="H19" s="302" t="s">
        <v>236</v>
      </c>
      <c r="I19" s="910">
        <f>VLOOKUP("TV COMISS EXTRAORD 09 40H",RHE,10,FALSE)</f>
        <v>2090.9</v>
      </c>
      <c r="J19" s="18"/>
      <c r="K19" s="251"/>
      <c r="M19" s="24"/>
      <c r="N19" s="18"/>
      <c r="O19" s="16"/>
    </row>
    <row r="20" spans="2:15" ht="18" customHeight="1">
      <c r="B20" s="288" t="s">
        <v>869</v>
      </c>
      <c r="C20" s="289">
        <f t="shared" si="0"/>
        <v>2251.58</v>
      </c>
      <c r="D20" s="255"/>
      <c r="E20" s="256"/>
      <c r="F20" s="255"/>
      <c r="G20" s="299" t="s">
        <v>1292</v>
      </c>
      <c r="H20" s="302" t="s">
        <v>237</v>
      </c>
      <c r="I20" s="910">
        <f>VLOOKUP("TV COMISS EXTRAORD 10 40H",RHE,10,FALSE)</f>
        <v>2251.58</v>
      </c>
      <c r="J20" s="18"/>
      <c r="K20" s="251"/>
      <c r="M20" s="24"/>
      <c r="N20" s="18"/>
      <c r="O20" s="16"/>
    </row>
    <row r="21" spans="2:15" ht="17.25" customHeight="1">
      <c r="B21" s="288" t="s">
        <v>708</v>
      </c>
      <c r="C21" s="289">
        <f aca="true" t="shared" si="1" ref="C21:C31">I21</f>
        <v>2412.68</v>
      </c>
      <c r="D21" s="255"/>
      <c r="E21" s="256"/>
      <c r="F21" s="255"/>
      <c r="G21" s="299" t="s">
        <v>1293</v>
      </c>
      <c r="H21" s="302" t="s">
        <v>238</v>
      </c>
      <c r="I21" s="910">
        <f>VLOOKUP("TV COMISS EXTRAORD 11 40H",RHE,10,FALSE)</f>
        <v>2412.68</v>
      </c>
      <c r="J21" s="18"/>
      <c r="K21" s="251"/>
      <c r="M21" s="24"/>
      <c r="N21" s="18"/>
      <c r="O21" s="16"/>
    </row>
    <row r="22" spans="2:15" ht="17.25" customHeight="1">
      <c r="B22" s="288" t="s">
        <v>709</v>
      </c>
      <c r="C22" s="289">
        <f t="shared" si="1"/>
        <v>2573.37</v>
      </c>
      <c r="D22" s="255"/>
      <c r="E22" s="256"/>
      <c r="F22" s="255"/>
      <c r="G22" s="299" t="s">
        <v>1294</v>
      </c>
      <c r="H22" s="302" t="s">
        <v>239</v>
      </c>
      <c r="I22" s="910">
        <f>VLOOKUP("TV COMISS EXTRAORD 12 40H",RHE,10,FALSE)</f>
        <v>2573.37</v>
      </c>
      <c r="J22" s="18"/>
      <c r="K22" s="258"/>
      <c r="L22" s="18"/>
      <c r="M22" s="24"/>
      <c r="N22" s="18"/>
      <c r="O22" s="16"/>
    </row>
    <row r="23" spans="2:15" ht="17.25" customHeight="1">
      <c r="B23" s="288" t="s">
        <v>84</v>
      </c>
      <c r="C23" s="289">
        <f t="shared" si="1"/>
        <v>2734.21</v>
      </c>
      <c r="D23" s="255"/>
      <c r="E23" s="256"/>
      <c r="F23" s="255"/>
      <c r="G23" s="299" t="s">
        <v>1295</v>
      </c>
      <c r="H23" s="302" t="s">
        <v>240</v>
      </c>
      <c r="I23" s="910">
        <f>VLOOKUP("TV COMISS EXTRAORD 13 40H",RHE,10,FALSE)</f>
        <v>2734.21</v>
      </c>
      <c r="J23" s="18"/>
      <c r="K23" s="258"/>
      <c r="L23" s="18"/>
      <c r="M23" s="24"/>
      <c r="N23" s="18"/>
      <c r="O23" s="16"/>
    </row>
    <row r="24" spans="2:15" ht="17.25" customHeight="1">
      <c r="B24" s="288" t="s">
        <v>85</v>
      </c>
      <c r="C24" s="289">
        <f t="shared" si="1"/>
        <v>2895.03</v>
      </c>
      <c r="D24" s="255"/>
      <c r="E24" s="256"/>
      <c r="F24" s="255"/>
      <c r="G24" s="299" t="s">
        <v>1296</v>
      </c>
      <c r="H24" s="302" t="s">
        <v>241</v>
      </c>
      <c r="I24" s="910">
        <f>VLOOKUP("TV COMISS EXTRAORD 14 40H",RHE,10,FALSE)</f>
        <v>2895.03</v>
      </c>
      <c r="J24" s="18"/>
      <c r="K24" s="258"/>
      <c r="L24" s="18"/>
      <c r="M24" s="24"/>
      <c r="N24" s="18"/>
      <c r="O24" s="16"/>
    </row>
    <row r="25" spans="2:15" ht="17.25" customHeight="1">
      <c r="B25" s="288" t="s">
        <v>715</v>
      </c>
      <c r="C25" s="289">
        <f t="shared" si="1"/>
        <v>3055.73</v>
      </c>
      <c r="D25" s="255"/>
      <c r="E25" s="256"/>
      <c r="F25" s="255"/>
      <c r="G25" s="299" t="s">
        <v>1297</v>
      </c>
      <c r="H25" s="302" t="s">
        <v>242</v>
      </c>
      <c r="I25" s="910">
        <f>VLOOKUP("TV COMISS EXTRAORD 15 40H",RHE,10,FALSE)</f>
        <v>3055.73</v>
      </c>
      <c r="J25" s="18"/>
      <c r="K25" s="258"/>
      <c r="L25" s="18"/>
      <c r="M25" s="24"/>
      <c r="N25" s="18"/>
      <c r="O25" s="16"/>
    </row>
    <row r="26" spans="2:15" ht="17.25" customHeight="1">
      <c r="B26" s="288" t="s">
        <v>716</v>
      </c>
      <c r="C26" s="289">
        <f t="shared" si="1"/>
        <v>3216.41</v>
      </c>
      <c r="D26" s="255"/>
      <c r="E26" s="256"/>
      <c r="F26" s="255"/>
      <c r="G26" s="299" t="s">
        <v>1298</v>
      </c>
      <c r="H26" s="302" t="s">
        <v>243</v>
      </c>
      <c r="I26" s="910">
        <f>VLOOKUP("TV COMISS EXTRAORD 16 40H",RHE,10,FALSE)</f>
        <v>3216.41</v>
      </c>
      <c r="J26" s="18"/>
      <c r="K26" s="258"/>
      <c r="L26" s="18"/>
      <c r="M26" s="24"/>
      <c r="N26" s="18"/>
      <c r="O26" s="16"/>
    </row>
    <row r="27" spans="2:15" ht="17.25" customHeight="1">
      <c r="B27" s="288" t="s">
        <v>717</v>
      </c>
      <c r="C27" s="289">
        <f t="shared" si="1"/>
        <v>3538.33</v>
      </c>
      <c r="D27" s="255"/>
      <c r="E27" s="256"/>
      <c r="F27" s="255"/>
      <c r="G27" s="299" t="s">
        <v>1299</v>
      </c>
      <c r="H27" s="302" t="s">
        <v>244</v>
      </c>
      <c r="I27" s="910">
        <f>VLOOKUP("TV COMISS EXTRAORD 17 40H",RHE,10,FALSE)</f>
        <v>3538.33</v>
      </c>
      <c r="J27" s="18"/>
      <c r="K27" s="258"/>
      <c r="L27" s="18"/>
      <c r="M27" s="24"/>
      <c r="N27" s="18"/>
      <c r="O27" s="16"/>
    </row>
    <row r="28" spans="2:15" ht="17.25" customHeight="1">
      <c r="B28" s="288" t="s">
        <v>718</v>
      </c>
      <c r="C28" s="289">
        <f t="shared" si="1"/>
        <v>3859.87</v>
      </c>
      <c r="D28" s="255"/>
      <c r="E28" s="256"/>
      <c r="F28" s="255"/>
      <c r="G28" s="299" t="s">
        <v>1300</v>
      </c>
      <c r="H28" s="302" t="s">
        <v>245</v>
      </c>
      <c r="I28" s="910">
        <f>VLOOKUP("TV COMISS EXTRAORD 18 40H",RHE,10,FALSE)</f>
        <v>3859.87</v>
      </c>
      <c r="J28" s="18"/>
      <c r="K28" s="258"/>
      <c r="L28" s="18"/>
      <c r="M28" s="24"/>
      <c r="N28" s="18"/>
      <c r="O28" s="16"/>
    </row>
    <row r="29" spans="2:15" ht="17.25" customHeight="1">
      <c r="B29" s="288" t="s">
        <v>719</v>
      </c>
      <c r="C29" s="289">
        <f t="shared" si="1"/>
        <v>4181.53</v>
      </c>
      <c r="D29" s="255"/>
      <c r="E29" s="256"/>
      <c r="F29" s="255"/>
      <c r="G29" s="299" t="s">
        <v>1301</v>
      </c>
      <c r="H29" s="302" t="s">
        <v>246</v>
      </c>
      <c r="I29" s="910">
        <f>VLOOKUP("TV COMISS EXTRAORD 19 40H",RHE,10,FALSE)</f>
        <v>4181.53</v>
      </c>
      <c r="J29" s="18"/>
      <c r="K29" s="258"/>
      <c r="L29" s="18"/>
      <c r="M29" s="24"/>
      <c r="N29" s="18"/>
      <c r="O29" s="16"/>
    </row>
    <row r="30" spans="2:15" ht="17.25" customHeight="1">
      <c r="B30" s="288" t="s">
        <v>720</v>
      </c>
      <c r="C30" s="289">
        <f t="shared" si="1"/>
        <v>4503.05</v>
      </c>
      <c r="D30" s="255"/>
      <c r="E30" s="256"/>
      <c r="F30" s="255"/>
      <c r="G30" s="299" t="s">
        <v>1302</v>
      </c>
      <c r="H30" s="302" t="s">
        <v>247</v>
      </c>
      <c r="I30" s="910">
        <f>VLOOKUP("TV COMISS EXTRAORD 20 40H",RHE,10,FALSE)</f>
        <v>4503.05</v>
      </c>
      <c r="J30" s="18"/>
      <c r="K30" s="258"/>
      <c r="L30" s="18"/>
      <c r="M30" s="24"/>
      <c r="N30" s="18"/>
      <c r="O30" s="16"/>
    </row>
    <row r="31" spans="2:15" ht="17.25" customHeight="1">
      <c r="B31" s="288" t="s">
        <v>870</v>
      </c>
      <c r="C31" s="289">
        <f t="shared" si="1"/>
        <v>4824.56</v>
      </c>
      <c r="D31" s="255"/>
      <c r="E31" s="256"/>
      <c r="F31" s="255"/>
      <c r="G31" s="299" t="s">
        <v>1303</v>
      </c>
      <c r="H31" s="302" t="s">
        <v>248</v>
      </c>
      <c r="I31" s="910">
        <f>VLOOKUP("TV COMISS EXTRAORD 21 40H",RHE,10,FALSE)</f>
        <v>4824.56</v>
      </c>
      <c r="J31" s="18"/>
      <c r="K31" s="258"/>
      <c r="L31" s="18"/>
      <c r="M31" s="24"/>
      <c r="N31" s="18"/>
      <c r="O31" s="16"/>
    </row>
    <row r="32" spans="2:15" ht="17.25" customHeight="1" thickBot="1">
      <c r="B32" s="290" t="s">
        <v>871</v>
      </c>
      <c r="C32" s="291">
        <f>I21</f>
        <v>2412.68</v>
      </c>
      <c r="D32" s="255"/>
      <c r="E32" s="256"/>
      <c r="F32" s="255"/>
      <c r="G32" s="300" t="s">
        <v>1304</v>
      </c>
      <c r="H32" s="303" t="s">
        <v>249</v>
      </c>
      <c r="I32" s="911">
        <f>VLOOKUP("TV COMISS EXTRAORD 22 40H",RHE,10,FALSE)</f>
        <v>5146.35</v>
      </c>
      <c r="J32" s="18"/>
      <c r="K32" s="258"/>
      <c r="L32" s="18"/>
      <c r="M32" s="24"/>
      <c r="N32" s="18"/>
      <c r="O32" s="16"/>
    </row>
    <row r="33" spans="2:15" ht="12.75">
      <c r="B33" s="292"/>
      <c r="C33" s="293"/>
      <c r="D33" s="255"/>
      <c r="E33" s="256"/>
      <c r="F33" s="255"/>
      <c r="G33" s="264"/>
      <c r="H33" s="268"/>
      <c r="I33" s="18" t="s">
        <v>1079</v>
      </c>
      <c r="J33" s="18"/>
      <c r="K33" s="258"/>
      <c r="L33" s="18"/>
      <c r="M33" s="24"/>
      <c r="N33" s="18"/>
      <c r="O33" s="16"/>
    </row>
    <row r="34" spans="2:15" ht="12.75">
      <c r="B34" s="292"/>
      <c r="C34" s="293"/>
      <c r="D34" s="255"/>
      <c r="E34" s="256"/>
      <c r="F34" s="255"/>
      <c r="G34" s="264"/>
      <c r="H34" s="268"/>
      <c r="I34" s="18"/>
      <c r="J34" s="18"/>
      <c r="K34" s="258"/>
      <c r="L34" s="18"/>
      <c r="M34" s="24"/>
      <c r="N34" s="18"/>
      <c r="O34" s="16"/>
    </row>
    <row r="35" spans="2:15" ht="12.75">
      <c r="B35" s="292"/>
      <c r="C35" s="293"/>
      <c r="D35" s="255"/>
      <c r="E35" s="256"/>
      <c r="F35" s="255"/>
      <c r="G35" s="264"/>
      <c r="H35" s="268"/>
      <c r="I35" s="18"/>
      <c r="J35" s="18"/>
      <c r="K35" s="258"/>
      <c r="L35" s="18"/>
      <c r="M35" s="24"/>
      <c r="N35" s="18"/>
      <c r="O35" s="16"/>
    </row>
    <row r="36" spans="2:15" ht="12.75">
      <c r="B36" s="292"/>
      <c r="C36" s="293"/>
      <c r="D36" s="255"/>
      <c r="E36" s="256"/>
      <c r="F36" s="255"/>
      <c r="G36" s="264"/>
      <c r="H36" s="268"/>
      <c r="I36" s="18"/>
      <c r="J36" s="18"/>
      <c r="K36" s="251"/>
      <c r="L36" s="250"/>
      <c r="M36" s="250"/>
      <c r="N36" s="18"/>
      <c r="O36" s="16"/>
    </row>
    <row r="37" spans="2:15" ht="12.75">
      <c r="B37" s="259"/>
      <c r="C37" s="255"/>
      <c r="D37" s="255"/>
      <c r="E37" s="256"/>
      <c r="F37" s="255"/>
      <c r="G37" s="264"/>
      <c r="H37" s="268"/>
      <c r="I37" s="18"/>
      <c r="J37" s="18"/>
      <c r="K37" s="251"/>
      <c r="L37" s="250"/>
      <c r="M37" s="250"/>
      <c r="N37" s="18"/>
      <c r="O37" s="16"/>
    </row>
    <row r="38" spans="2:15" ht="12.75">
      <c r="B38" s="259"/>
      <c r="C38" s="255"/>
      <c r="D38" s="255"/>
      <c r="E38" s="256"/>
      <c r="F38" s="255"/>
      <c r="G38" s="264"/>
      <c r="H38" s="268"/>
      <c r="I38" s="18"/>
      <c r="J38" s="18"/>
      <c r="K38" s="251"/>
      <c r="L38" s="250"/>
      <c r="M38" s="250"/>
      <c r="N38" s="18"/>
      <c r="O38" s="16"/>
    </row>
    <row r="39" spans="2:15" ht="12.75">
      <c r="B39" s="259"/>
      <c r="C39" s="255"/>
      <c r="D39" s="255"/>
      <c r="E39" s="256"/>
      <c r="F39" s="255"/>
      <c r="G39" s="264"/>
      <c r="H39" s="268"/>
      <c r="I39" s="18"/>
      <c r="J39" s="18"/>
      <c r="K39" s="251"/>
      <c r="L39" s="250"/>
      <c r="M39" s="250"/>
      <c r="N39" s="18"/>
      <c r="O39" s="16"/>
    </row>
    <row r="40" spans="2:15" ht="12.75">
      <c r="B40" s="259"/>
      <c r="C40" s="255"/>
      <c r="D40" s="255"/>
      <c r="E40" s="260"/>
      <c r="F40" s="261"/>
      <c r="G40" s="265"/>
      <c r="H40" s="269"/>
      <c r="I40" s="20"/>
      <c r="J40" s="20"/>
      <c r="K40" s="262"/>
      <c r="L40" s="250"/>
      <c r="M40" s="250"/>
      <c r="N40" s="18"/>
      <c r="O40" s="16"/>
    </row>
    <row r="41" spans="2:15" ht="12.75">
      <c r="B41" s="259"/>
      <c r="C41" s="255"/>
      <c r="D41" s="255"/>
      <c r="E41" s="255"/>
      <c r="F41" s="255"/>
      <c r="G41" s="264"/>
      <c r="H41" s="268"/>
      <c r="I41" s="18"/>
      <c r="J41" s="18"/>
      <c r="K41" s="250"/>
      <c r="L41" s="250"/>
      <c r="M41" s="250"/>
      <c r="N41" s="18"/>
      <c r="O41" s="16"/>
    </row>
    <row r="42" spans="2:15" ht="12.75">
      <c r="B42" s="259"/>
      <c r="C42" s="255"/>
      <c r="D42" s="255"/>
      <c r="E42" s="255"/>
      <c r="F42" s="255"/>
      <c r="G42" s="264"/>
      <c r="H42" s="268"/>
      <c r="I42" s="18"/>
      <c r="J42" s="18"/>
      <c r="K42" s="250"/>
      <c r="L42" s="250"/>
      <c r="M42" s="250"/>
      <c r="N42" s="18"/>
      <c r="O42" s="16"/>
    </row>
    <row r="43" spans="2:15" ht="12.75">
      <c r="B43" s="259"/>
      <c r="C43" s="255"/>
      <c r="D43" s="255"/>
      <c r="E43" s="255"/>
      <c r="F43" s="255"/>
      <c r="G43" s="264"/>
      <c r="H43" s="268"/>
      <c r="I43" s="18"/>
      <c r="J43" s="18"/>
      <c r="K43" s="250"/>
      <c r="L43" s="250"/>
      <c r="M43" s="250"/>
      <c r="N43" s="18"/>
      <c r="O43" s="16"/>
    </row>
    <row r="44" spans="2:15" ht="12.75">
      <c r="B44" s="259"/>
      <c r="C44" s="255"/>
      <c r="D44" s="255"/>
      <c r="E44" s="255"/>
      <c r="F44" s="255"/>
      <c r="G44" s="264"/>
      <c r="H44" s="268"/>
      <c r="I44" s="18"/>
      <c r="J44" s="18"/>
      <c r="K44" s="250"/>
      <c r="L44" s="250"/>
      <c r="M44" s="250"/>
      <c r="N44" s="18"/>
      <c r="O44" s="16"/>
    </row>
    <row r="45" spans="2:15" ht="12.75">
      <c r="B45" s="259"/>
      <c r="C45" s="255"/>
      <c r="D45" s="255"/>
      <c r="E45" s="255"/>
      <c r="F45" s="255"/>
      <c r="G45" s="264"/>
      <c r="H45" s="268"/>
      <c r="I45" s="18"/>
      <c r="J45" s="18"/>
      <c r="K45" s="250"/>
      <c r="L45" s="250"/>
      <c r="M45" s="250"/>
      <c r="N45" s="250"/>
      <c r="O45" s="16"/>
    </row>
    <row r="46" spans="2:15" ht="12.75">
      <c r="B46" s="259"/>
      <c r="C46" s="255"/>
      <c r="D46" s="255"/>
      <c r="E46" s="255"/>
      <c r="F46" s="255"/>
      <c r="G46" s="264"/>
      <c r="H46" s="268"/>
      <c r="I46" s="18"/>
      <c r="J46" s="18"/>
      <c r="K46" s="24"/>
      <c r="L46" s="17"/>
      <c r="M46" s="24"/>
      <c r="N46" s="18"/>
      <c r="O46" s="16"/>
    </row>
    <row r="47" spans="2:15" ht="12.75">
      <c r="B47" s="259"/>
      <c r="C47" s="255"/>
      <c r="D47" s="255"/>
      <c r="E47" s="255"/>
      <c r="F47" s="255"/>
      <c r="G47" s="264"/>
      <c r="H47" s="268"/>
      <c r="I47" s="18"/>
      <c r="J47" s="18"/>
      <c r="K47" s="24"/>
      <c r="L47" s="17"/>
      <c r="M47" s="24"/>
      <c r="N47" s="18"/>
      <c r="O47" s="16"/>
    </row>
    <row r="48" spans="2:15" ht="12.75">
      <c r="B48" s="259"/>
      <c r="C48" s="255"/>
      <c r="D48" s="255"/>
      <c r="E48" s="255"/>
      <c r="F48" s="255"/>
      <c r="G48" s="264"/>
      <c r="H48" s="268"/>
      <c r="I48" s="18"/>
      <c r="J48" s="18"/>
      <c r="K48" s="24"/>
      <c r="L48" s="17"/>
      <c r="M48" s="24"/>
      <c r="N48" s="18"/>
      <c r="O48" s="16"/>
    </row>
    <row r="49" spans="2:15" ht="12.75">
      <c r="B49" s="259"/>
      <c r="C49" s="255"/>
      <c r="D49" s="255"/>
      <c r="E49" s="255"/>
      <c r="F49" s="255"/>
      <c r="G49" s="264"/>
      <c r="H49" s="268"/>
      <c r="I49" s="250"/>
      <c r="J49" s="250"/>
      <c r="K49" s="250"/>
      <c r="L49" s="250"/>
      <c r="M49" s="250"/>
      <c r="N49" s="250"/>
      <c r="O49" s="16"/>
    </row>
    <row r="50" spans="2:15" ht="12.75">
      <c r="B50" s="259"/>
      <c r="C50" s="255"/>
      <c r="D50" s="255"/>
      <c r="E50" s="255"/>
      <c r="F50" s="255"/>
      <c r="G50" s="264"/>
      <c r="H50" s="268"/>
      <c r="I50" s="250"/>
      <c r="J50" s="250"/>
      <c r="K50" s="250"/>
      <c r="L50" s="250"/>
      <c r="M50" s="250"/>
      <c r="N50" s="250"/>
      <c r="O50" s="16"/>
    </row>
    <row r="51" spans="2:15" ht="12.75">
      <c r="B51" s="259"/>
      <c r="C51" s="255"/>
      <c r="D51" s="255"/>
      <c r="E51" s="255"/>
      <c r="F51" s="255"/>
      <c r="G51" s="264"/>
      <c r="H51" s="268"/>
      <c r="I51" s="250"/>
      <c r="J51" s="250"/>
      <c r="K51" s="250"/>
      <c r="L51" s="250"/>
      <c r="M51" s="250"/>
      <c r="N51" s="250"/>
      <c r="O51" s="16"/>
    </row>
    <row r="52" spans="2:15" ht="12.75">
      <c r="B52" s="259"/>
      <c r="C52" s="255"/>
      <c r="D52" s="255"/>
      <c r="E52" s="255"/>
      <c r="F52" s="255"/>
      <c r="G52" s="264"/>
      <c r="H52" s="17"/>
      <c r="I52" s="18"/>
      <c r="J52" s="18"/>
      <c r="K52" s="24"/>
      <c r="L52" s="20"/>
      <c r="M52" s="21"/>
      <c r="N52" s="20"/>
      <c r="O52" s="22"/>
    </row>
    <row r="53" spans="2:11" ht="12.75">
      <c r="B53" s="259"/>
      <c r="C53" s="255"/>
      <c r="D53" s="255"/>
      <c r="E53" s="255"/>
      <c r="F53" s="255"/>
      <c r="G53" s="264"/>
      <c r="H53" s="268"/>
      <c r="I53" s="250"/>
      <c r="J53" s="250"/>
      <c r="K53" s="250"/>
    </row>
    <row r="54" spans="2:11" ht="12.75">
      <c r="B54" s="259"/>
      <c r="C54" s="255"/>
      <c r="D54" s="255"/>
      <c r="E54" s="255"/>
      <c r="F54" s="255"/>
      <c r="G54" s="264"/>
      <c r="H54" s="268"/>
      <c r="I54" s="250"/>
      <c r="J54" s="250"/>
      <c r="K54" s="250"/>
    </row>
    <row r="55" spans="2:11" ht="12.75">
      <c r="B55" s="259"/>
      <c r="C55" s="255"/>
      <c r="D55" s="255"/>
      <c r="E55" s="255"/>
      <c r="F55" s="255"/>
      <c r="G55" s="264"/>
      <c r="H55" s="268"/>
      <c r="I55" s="250"/>
      <c r="J55" s="250"/>
      <c r="K55" s="250"/>
    </row>
    <row r="56" spans="2:11" ht="12.75">
      <c r="B56" s="259"/>
      <c r="C56" s="255"/>
      <c r="D56" s="255"/>
      <c r="E56" s="255"/>
      <c r="F56" s="255"/>
      <c r="G56" s="264"/>
      <c r="H56" s="268"/>
      <c r="I56" s="250"/>
      <c r="J56" s="250"/>
      <c r="K56" s="250"/>
    </row>
    <row r="57" spans="2:11" ht="12.75">
      <c r="B57" s="259"/>
      <c r="C57" s="255"/>
      <c r="D57" s="255"/>
      <c r="E57" s="255"/>
      <c r="F57" s="255"/>
      <c r="G57" s="264"/>
      <c r="H57" s="268"/>
      <c r="I57" s="250"/>
      <c r="J57" s="250"/>
      <c r="K57" s="250"/>
    </row>
    <row r="58" spans="2:11" ht="12.75">
      <c r="B58" s="259"/>
      <c r="C58" s="255"/>
      <c r="D58" s="255"/>
      <c r="E58" s="255"/>
      <c r="F58" s="255"/>
      <c r="G58" s="264"/>
      <c r="H58" s="268"/>
      <c r="I58" s="250"/>
      <c r="J58" s="250"/>
      <c r="K58" s="250"/>
    </row>
    <row r="59" spans="2:11" ht="12.75">
      <c r="B59" s="259"/>
      <c r="C59" s="255"/>
      <c r="D59" s="255"/>
      <c r="E59" s="255"/>
      <c r="F59" s="255"/>
      <c r="G59" s="264"/>
      <c r="H59" s="268"/>
      <c r="I59" s="250"/>
      <c r="J59" s="250"/>
      <c r="K59" s="250"/>
    </row>
    <row r="60" spans="2:11" ht="12.75">
      <c r="B60" s="259"/>
      <c r="C60" s="255"/>
      <c r="D60" s="255"/>
      <c r="E60" s="255"/>
      <c r="F60" s="255"/>
      <c r="G60" s="264"/>
      <c r="H60" s="268"/>
      <c r="I60" s="250"/>
      <c r="J60" s="250"/>
      <c r="K60" s="250"/>
    </row>
    <row r="61" spans="2:11" ht="12.75">
      <c r="B61" s="259"/>
      <c r="C61" s="255"/>
      <c r="D61" s="255"/>
      <c r="E61" s="255"/>
      <c r="F61" s="255"/>
      <c r="G61" s="264"/>
      <c r="H61" s="268"/>
      <c r="I61" s="250"/>
      <c r="J61" s="250"/>
      <c r="K61" s="250"/>
    </row>
    <row r="62" spans="2:11" ht="12.75">
      <c r="B62" s="259"/>
      <c r="C62" s="255"/>
      <c r="D62" s="255"/>
      <c r="E62" s="255"/>
      <c r="F62" s="255"/>
      <c r="G62" s="264"/>
      <c r="H62" s="268"/>
      <c r="I62" s="250"/>
      <c r="J62" s="250"/>
      <c r="K62" s="250"/>
    </row>
    <row r="63" spans="2:11" ht="12.75">
      <c r="B63" s="259"/>
      <c r="C63" s="255"/>
      <c r="D63" s="255"/>
      <c r="E63" s="255"/>
      <c r="F63" s="255"/>
      <c r="G63" s="264"/>
      <c r="H63" s="268"/>
      <c r="I63" s="250"/>
      <c r="J63" s="250"/>
      <c r="K63" s="250"/>
    </row>
    <row r="64" spans="2:11" ht="12.75">
      <c r="B64" s="259"/>
      <c r="C64" s="255"/>
      <c r="D64" s="255"/>
      <c r="E64" s="255"/>
      <c r="F64" s="255"/>
      <c r="G64" s="264"/>
      <c r="H64" s="268"/>
      <c r="I64" s="250"/>
      <c r="J64" s="250"/>
      <c r="K64" s="250"/>
    </row>
    <row r="65" spans="2:11" ht="12.75">
      <c r="B65" s="259"/>
      <c r="C65" s="255"/>
      <c r="D65" s="255"/>
      <c r="E65" s="255"/>
      <c r="F65" s="255"/>
      <c r="G65" s="264"/>
      <c r="H65" s="268"/>
      <c r="I65" s="250"/>
      <c r="J65" s="250"/>
      <c r="K65" s="250"/>
    </row>
    <row r="66" spans="2:11" ht="12.75">
      <c r="B66" s="259"/>
      <c r="C66" s="255"/>
      <c r="D66" s="255"/>
      <c r="E66" s="255"/>
      <c r="F66" s="255"/>
      <c r="G66" s="264"/>
      <c r="H66" s="268"/>
      <c r="I66" s="250"/>
      <c r="J66" s="250"/>
      <c r="K66" s="250"/>
    </row>
    <row r="67" spans="2:11" ht="12.75">
      <c r="B67" s="259"/>
      <c r="C67" s="255"/>
      <c r="D67" s="255"/>
      <c r="E67" s="255"/>
      <c r="F67" s="255"/>
      <c r="G67" s="264"/>
      <c r="H67" s="268"/>
      <c r="I67" s="250"/>
      <c r="J67" s="250"/>
      <c r="K67" s="250"/>
    </row>
    <row r="68" spans="2:11" ht="12.75">
      <c r="B68" s="259"/>
      <c r="C68" s="255"/>
      <c r="D68" s="255"/>
      <c r="E68" s="255"/>
      <c r="F68" s="255"/>
      <c r="G68" s="264"/>
      <c r="H68" s="268"/>
      <c r="I68" s="250"/>
      <c r="J68" s="250"/>
      <c r="K68" s="250"/>
    </row>
    <row r="69" spans="2:11" ht="12.75">
      <c r="B69" s="259"/>
      <c r="C69" s="255"/>
      <c r="D69" s="255"/>
      <c r="E69" s="255"/>
      <c r="F69" s="255"/>
      <c r="G69" s="264"/>
      <c r="H69" s="268"/>
      <c r="I69" s="250"/>
      <c r="J69" s="250"/>
      <c r="K69" s="250"/>
    </row>
    <row r="70" spans="2:11" ht="12.75">
      <c r="B70" s="259"/>
      <c r="C70" s="255"/>
      <c r="D70" s="255"/>
      <c r="E70" s="255"/>
      <c r="F70" s="255"/>
      <c r="G70" s="264"/>
      <c r="H70" s="268"/>
      <c r="I70" s="250"/>
      <c r="J70" s="250"/>
      <c r="K70" s="250"/>
    </row>
    <row r="71" spans="2:11" ht="12.75">
      <c r="B71" s="259"/>
      <c r="C71" s="255"/>
      <c r="D71" s="255"/>
      <c r="E71" s="255"/>
      <c r="F71" s="255"/>
      <c r="G71" s="264"/>
      <c r="H71" s="268"/>
      <c r="I71" s="250"/>
      <c r="J71" s="250"/>
      <c r="K71" s="250"/>
    </row>
    <row r="72" spans="2:11" ht="12.75">
      <c r="B72" s="259"/>
      <c r="C72" s="255"/>
      <c r="D72" s="255"/>
      <c r="E72" s="255"/>
      <c r="F72" s="255"/>
      <c r="G72" s="264"/>
      <c r="H72" s="268"/>
      <c r="I72" s="250"/>
      <c r="J72" s="250"/>
      <c r="K72" s="250"/>
    </row>
    <row r="73" spans="4:11" ht="12.75">
      <c r="D73" s="255"/>
      <c r="E73" s="255"/>
      <c r="F73" s="255"/>
      <c r="G73" s="264"/>
      <c r="H73" s="268"/>
      <c r="I73" s="250"/>
      <c r="J73" s="250"/>
      <c r="K73" s="250"/>
    </row>
    <row r="74" spans="2:7" ht="12.75">
      <c r="B74" s="259"/>
      <c r="C74" s="255"/>
      <c r="D74" s="255"/>
      <c r="E74" s="255"/>
      <c r="F74" s="255"/>
      <c r="G74" s="264"/>
    </row>
    <row r="75" spans="2:7" ht="12.75">
      <c r="B75" s="259"/>
      <c r="C75" s="255"/>
      <c r="D75" s="255"/>
      <c r="E75" s="255"/>
      <c r="F75" s="255"/>
      <c r="G75" s="264"/>
    </row>
    <row r="76" spans="2:7" ht="12.75">
      <c r="B76" s="259"/>
      <c r="C76" s="255"/>
      <c r="D76" s="255"/>
      <c r="E76" s="255"/>
      <c r="F76" s="255"/>
      <c r="G76" s="264"/>
    </row>
    <row r="77" spans="2:7" ht="12.75">
      <c r="B77" s="250"/>
      <c r="C77" s="250"/>
      <c r="D77" s="255"/>
      <c r="E77" s="255"/>
      <c r="F77" s="255"/>
      <c r="G77" s="264"/>
    </row>
    <row r="78" spans="2:7" ht="12.75">
      <c r="B78" s="250"/>
      <c r="C78" s="250"/>
      <c r="D78" s="255"/>
      <c r="E78" s="255"/>
      <c r="F78" s="255"/>
      <c r="G78" s="264"/>
    </row>
    <row r="79" spans="4:7" ht="12.75">
      <c r="D79" s="255"/>
      <c r="E79" s="255"/>
      <c r="F79" s="255"/>
      <c r="G79" s="264"/>
    </row>
    <row r="80" spans="4:7" ht="12.75">
      <c r="D80" s="255"/>
      <c r="E80" s="255"/>
      <c r="F80" s="255"/>
      <c r="G80" s="264"/>
    </row>
    <row r="81" spans="4:7" ht="12.75">
      <c r="D81" s="255"/>
      <c r="E81" s="255"/>
      <c r="F81" s="255"/>
      <c r="G81" s="264"/>
    </row>
    <row r="82" spans="4:7" ht="12.75">
      <c r="D82" s="255"/>
      <c r="E82" s="255"/>
      <c r="F82" s="255"/>
      <c r="G82" s="264"/>
    </row>
    <row r="83" spans="4:7" ht="12.75">
      <c r="D83" s="255"/>
      <c r="E83" s="255"/>
      <c r="F83" s="255"/>
      <c r="G83" s="264"/>
    </row>
    <row r="84" spans="4:7" ht="12.75">
      <c r="D84" s="255"/>
      <c r="E84" s="255"/>
      <c r="F84" s="255"/>
      <c r="G84" s="264"/>
    </row>
    <row r="85" spans="2:7" ht="12.75">
      <c r="B85" s="247"/>
      <c r="C85" s="247"/>
      <c r="D85" s="255"/>
      <c r="E85" s="255"/>
      <c r="F85" s="255"/>
      <c r="G85" s="264"/>
    </row>
    <row r="86" spans="2:7" ht="12.75">
      <c r="B86" s="247"/>
      <c r="C86" s="247"/>
      <c r="D86" s="255"/>
      <c r="E86" s="255"/>
      <c r="F86" s="255"/>
      <c r="G86" s="264"/>
    </row>
    <row r="87" spans="2:7" ht="12.75">
      <c r="B87" s="247"/>
      <c r="C87" s="247"/>
      <c r="D87" s="255"/>
      <c r="E87" s="255"/>
      <c r="F87" s="255"/>
      <c r="G87" s="264"/>
    </row>
    <row r="88" spans="2:7" ht="12.75">
      <c r="B88" s="247"/>
      <c r="C88" s="247"/>
      <c r="D88" s="255"/>
      <c r="E88" s="255"/>
      <c r="F88" s="255"/>
      <c r="G88" s="264"/>
    </row>
    <row r="89" spans="2:7" ht="12.75">
      <c r="B89" s="247"/>
      <c r="C89" s="247"/>
      <c r="D89" s="255"/>
      <c r="E89" s="255"/>
      <c r="F89" s="255"/>
      <c r="G89" s="264"/>
    </row>
    <row r="90" spans="2:7" ht="12.75">
      <c r="B90" s="247"/>
      <c r="C90" s="247"/>
      <c r="D90" s="255"/>
      <c r="E90" s="255"/>
      <c r="F90" s="255"/>
      <c r="G90" s="264"/>
    </row>
    <row r="91" spans="2:7" ht="12.75">
      <c r="B91" s="247"/>
      <c r="C91" s="247"/>
      <c r="D91" s="255"/>
      <c r="E91" s="255"/>
      <c r="F91" s="255"/>
      <c r="G91" s="264"/>
    </row>
    <row r="92" spans="2:7" ht="12.75">
      <c r="B92" s="247"/>
      <c r="C92" s="247"/>
      <c r="D92" s="250"/>
      <c r="E92" s="250"/>
      <c r="F92" s="250"/>
      <c r="G92" s="264"/>
    </row>
    <row r="93" spans="2:7" ht="12.75">
      <c r="B93" s="247"/>
      <c r="C93" s="247"/>
      <c r="D93" s="250"/>
      <c r="E93" s="250"/>
      <c r="F93" s="250"/>
      <c r="G93" s="264"/>
    </row>
    <row r="94" spans="2:3" ht="12.75">
      <c r="B94" s="247"/>
      <c r="C94" s="247"/>
    </row>
    <row r="95" spans="2:3" ht="12.75">
      <c r="B95" s="247"/>
      <c r="C95" s="247"/>
    </row>
    <row r="96" spans="2:3" ht="12.75">
      <c r="B96" s="247"/>
      <c r="C96" s="247"/>
    </row>
    <row r="97" spans="2:3" ht="12.75">
      <c r="B97" s="247"/>
      <c r="C97" s="247"/>
    </row>
    <row r="98" spans="2:3" ht="12.75">
      <c r="B98" s="247"/>
      <c r="C98" s="247"/>
    </row>
    <row r="99" spans="2:3" ht="12.75">
      <c r="B99" s="247"/>
      <c r="C99" s="247"/>
    </row>
    <row r="100" spans="2:7" ht="12.75">
      <c r="B100" s="247"/>
      <c r="C100" s="247"/>
      <c r="D100" s="247"/>
      <c r="E100" s="247"/>
      <c r="F100" s="247"/>
      <c r="G100" s="266"/>
    </row>
    <row r="101" spans="2:7" ht="12.75">
      <c r="B101" s="247"/>
      <c r="C101" s="247"/>
      <c r="D101" s="247"/>
      <c r="E101" s="247"/>
      <c r="F101" s="247"/>
      <c r="G101" s="266"/>
    </row>
    <row r="102" spans="2:7" ht="12.75">
      <c r="B102" s="247"/>
      <c r="C102" s="247"/>
      <c r="D102" s="247"/>
      <c r="E102" s="247"/>
      <c r="F102" s="247"/>
      <c r="G102" s="266"/>
    </row>
    <row r="103" spans="2:7" ht="12.75">
      <c r="B103" s="247"/>
      <c r="C103" s="247"/>
      <c r="D103" s="247"/>
      <c r="E103" s="247"/>
      <c r="F103" s="247"/>
      <c r="G103" s="266"/>
    </row>
    <row r="104" spans="2:7" ht="12.75">
      <c r="B104" s="247"/>
      <c r="C104" s="247"/>
      <c r="D104" s="247"/>
      <c r="E104" s="247"/>
      <c r="F104" s="247"/>
      <c r="G104" s="266"/>
    </row>
    <row r="105" spans="2:7" ht="12.75">
      <c r="B105" s="247"/>
      <c r="C105" s="247"/>
      <c r="D105" s="247"/>
      <c r="E105" s="247"/>
      <c r="F105" s="247"/>
      <c r="G105" s="266"/>
    </row>
    <row r="106" spans="4:7" ht="12.75">
      <c r="D106" s="247"/>
      <c r="E106" s="247"/>
      <c r="F106" s="247"/>
      <c r="G106" s="266"/>
    </row>
    <row r="107" spans="4:7" ht="12.75">
      <c r="D107" s="247"/>
      <c r="E107" s="247"/>
      <c r="F107" s="247"/>
      <c r="G107" s="266"/>
    </row>
    <row r="108" spans="4:7" ht="12.75">
      <c r="D108" s="247"/>
      <c r="E108" s="247"/>
      <c r="F108" s="247"/>
      <c r="G108" s="266"/>
    </row>
    <row r="109" spans="4:7" ht="12.75">
      <c r="D109" s="247"/>
      <c r="E109" s="247"/>
      <c r="F109" s="247"/>
      <c r="G109" s="266"/>
    </row>
    <row r="110" spans="4:7" ht="12.75">
      <c r="D110" s="247"/>
      <c r="E110" s="247"/>
      <c r="F110" s="247"/>
      <c r="G110" s="266"/>
    </row>
    <row r="111" spans="4:7" ht="12.75">
      <c r="D111" s="247"/>
      <c r="E111" s="247"/>
      <c r="F111" s="247"/>
      <c r="G111" s="266"/>
    </row>
    <row r="112" spans="4:7" ht="12.75">
      <c r="D112" s="247"/>
      <c r="E112" s="247"/>
      <c r="F112" s="247"/>
      <c r="G112" s="266"/>
    </row>
    <row r="113" spans="4:7" ht="12.75">
      <c r="D113" s="247"/>
      <c r="E113" s="247"/>
      <c r="F113" s="247"/>
      <c r="G113" s="266"/>
    </row>
    <row r="114" spans="4:7" ht="12.75">
      <c r="D114" s="247"/>
      <c r="E114" s="247"/>
      <c r="F114" s="247"/>
      <c r="G114" s="266"/>
    </row>
    <row r="115" spans="4:7" ht="12.75">
      <c r="D115" s="247"/>
      <c r="E115" s="247"/>
      <c r="F115" s="247"/>
      <c r="G115" s="266"/>
    </row>
    <row r="116" spans="4:7" ht="12.75">
      <c r="D116" s="247"/>
      <c r="E116" s="247"/>
      <c r="F116" s="247"/>
      <c r="G116" s="266"/>
    </row>
    <row r="117" spans="4:7" ht="12.75">
      <c r="D117" s="247"/>
      <c r="E117" s="247"/>
      <c r="F117" s="247"/>
      <c r="G117" s="266"/>
    </row>
    <row r="118" spans="4:7" ht="12.75">
      <c r="D118" s="247"/>
      <c r="E118" s="247"/>
      <c r="F118" s="247"/>
      <c r="G118" s="266"/>
    </row>
    <row r="119" spans="4:7" ht="12.75">
      <c r="D119" s="247"/>
      <c r="E119" s="247"/>
      <c r="F119" s="247"/>
      <c r="G119" s="266"/>
    </row>
    <row r="120" spans="4:7" ht="12.75">
      <c r="D120" s="247"/>
      <c r="E120" s="247"/>
      <c r="F120" s="247"/>
      <c r="G120" s="266"/>
    </row>
  </sheetData>
  <sheetProtection/>
  <mergeCells count="5">
    <mergeCell ref="E3:F3"/>
    <mergeCell ref="J3:K3"/>
    <mergeCell ref="J4:K4"/>
    <mergeCell ref="G3:I3"/>
    <mergeCell ref="G4:I4"/>
  </mergeCells>
  <printOptions horizontalCentered="1"/>
  <pageMargins left="0.5511811023622047" right="0.35433070866141736" top="0.83" bottom="0.7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R347"/>
  <sheetViews>
    <sheetView zoomScale="96" zoomScaleNormal="96" zoomScalePageLayoutView="0" workbookViewId="0" topLeftCell="AA1">
      <selection activeCell="X9" sqref="X9:Y17"/>
    </sheetView>
  </sheetViews>
  <sheetFormatPr defaultColWidth="9.140625" defaultRowHeight="12.75"/>
  <cols>
    <col min="1" max="1" width="9.140625" style="243" customWidth="1"/>
    <col min="2" max="2" width="16.421875" style="243" customWidth="1"/>
    <col min="3" max="3" width="11.28125" style="243" customWidth="1"/>
    <col min="4" max="4" width="10.421875" style="243" customWidth="1"/>
    <col min="5" max="5" width="9.28125" style="243" customWidth="1"/>
    <col min="6" max="6" width="10.140625" style="243" customWidth="1"/>
    <col min="7" max="7" width="4.7109375" style="243" customWidth="1"/>
    <col min="8" max="8" width="7.421875" style="263" customWidth="1"/>
    <col min="9" max="9" width="19.421875" style="367" customWidth="1"/>
    <col min="10" max="10" width="11.421875" style="243" customWidth="1"/>
    <col min="11" max="11" width="4.7109375" style="243" customWidth="1"/>
    <col min="12" max="12" width="8.8515625" style="243" customWidth="1"/>
    <col min="13" max="13" width="23.7109375" style="243" bestFit="1" customWidth="1"/>
    <col min="14" max="14" width="11.421875" style="243" customWidth="1"/>
    <col min="15" max="15" width="4.7109375" style="243" customWidth="1"/>
    <col min="16" max="16" width="10.28125" style="243" customWidth="1"/>
    <col min="17" max="17" width="4.7109375" style="243" customWidth="1"/>
    <col min="18" max="18" width="7.421875" style="263" customWidth="1"/>
    <col min="19" max="20" width="24.8515625" style="243" customWidth="1"/>
    <col min="21" max="21" width="11.421875" style="243" customWidth="1"/>
    <col min="22" max="22" width="4.7109375" style="243" customWidth="1"/>
    <col min="23" max="23" width="14.00390625" style="243" customWidth="1"/>
    <col min="24" max="26" width="14.00390625" style="243" hidden="1" customWidth="1"/>
    <col min="27" max="27" width="4.7109375" style="243" customWidth="1"/>
    <col min="28" max="28" width="7.421875" style="263" customWidth="1"/>
    <col min="29" max="29" width="14.7109375" style="367" customWidth="1"/>
    <col min="30" max="30" width="28.8515625" style="243" customWidth="1"/>
    <col min="31" max="31" width="14.28125" style="243" customWidth="1"/>
    <col min="32" max="32" width="11.421875" style="243" customWidth="1"/>
    <col min="33" max="33" width="4.7109375" style="243" customWidth="1"/>
    <col min="34" max="34" width="8.28125" style="243" customWidth="1"/>
    <col min="35" max="35" width="15.00390625" style="243" customWidth="1"/>
    <col min="36" max="36" width="5.57421875" style="243" customWidth="1"/>
    <col min="37" max="37" width="2.7109375" style="243" customWidth="1"/>
    <col min="38" max="16384" width="9.140625" style="243" customWidth="1"/>
  </cols>
  <sheetData>
    <row r="1" spans="35:44" ht="13.5" thickBot="1">
      <c r="AI1" s="250"/>
      <c r="AJ1" s="250"/>
      <c r="AK1" s="250"/>
      <c r="AL1" s="250"/>
      <c r="AM1" s="250"/>
      <c r="AN1" s="250"/>
      <c r="AO1" s="250"/>
      <c r="AP1" s="250"/>
      <c r="AQ1" s="250"/>
      <c r="AR1" s="250"/>
    </row>
    <row r="2" spans="7:44" ht="15">
      <c r="G2" s="384"/>
      <c r="H2" s="385"/>
      <c r="I2" s="386"/>
      <c r="J2" s="387"/>
      <c r="K2" s="387"/>
      <c r="L2" s="387"/>
      <c r="M2" s="387"/>
      <c r="N2" s="387"/>
      <c r="O2" s="388"/>
      <c r="P2" s="760"/>
      <c r="Q2" s="384"/>
      <c r="R2" s="385"/>
      <c r="S2" s="387"/>
      <c r="T2" s="387"/>
      <c r="U2" s="387"/>
      <c r="V2" s="388"/>
      <c r="W2" s="358"/>
      <c r="X2" s="358"/>
      <c r="Y2" s="358"/>
      <c r="Z2" s="358"/>
      <c r="AA2" s="384"/>
      <c r="AB2" s="385"/>
      <c r="AC2" s="386"/>
      <c r="AD2" s="387"/>
      <c r="AE2" s="387"/>
      <c r="AF2" s="387"/>
      <c r="AG2" s="388"/>
      <c r="AH2" s="358"/>
      <c r="AI2" s="358"/>
      <c r="AJ2" s="358"/>
      <c r="AK2" s="250"/>
      <c r="AL2" s="250"/>
      <c r="AM2" s="405"/>
      <c r="AN2" s="405"/>
      <c r="AO2" s="250"/>
      <c r="AP2" s="250"/>
      <c r="AQ2" s="250"/>
      <c r="AR2" s="250"/>
    </row>
    <row r="3" spans="4:44" ht="15">
      <c r="D3" s="247"/>
      <c r="E3" s="247"/>
      <c r="G3" s="1569" t="s">
        <v>274</v>
      </c>
      <c r="H3" s="1223"/>
      <c r="I3" s="1557" t="s">
        <v>445</v>
      </c>
      <c r="J3" s="1557"/>
      <c r="K3" s="1557"/>
      <c r="L3" s="1557"/>
      <c r="M3" s="1557"/>
      <c r="N3" s="1222" t="s">
        <v>1080</v>
      </c>
      <c r="O3" s="1564"/>
      <c r="P3" s="761"/>
      <c r="Q3" s="1569" t="s">
        <v>274</v>
      </c>
      <c r="R3" s="1223"/>
      <c r="S3" s="1557" t="s">
        <v>794</v>
      </c>
      <c r="T3" s="1557"/>
      <c r="U3" s="1222" t="s">
        <v>1080</v>
      </c>
      <c r="V3" s="1564"/>
      <c r="W3" s="358"/>
      <c r="X3" s="358"/>
      <c r="Y3" s="358"/>
      <c r="Z3" s="358"/>
      <c r="AA3" s="1569" t="s">
        <v>274</v>
      </c>
      <c r="AB3" s="1223"/>
      <c r="AC3" s="1557" t="s">
        <v>513</v>
      </c>
      <c r="AD3" s="1557"/>
      <c r="AE3" s="1557"/>
      <c r="AF3" s="1222" t="s">
        <v>1080</v>
      </c>
      <c r="AG3" s="1564"/>
      <c r="AH3" s="358"/>
      <c r="AI3" s="244"/>
      <c r="AJ3" s="359"/>
      <c r="AK3" s="250"/>
      <c r="AL3" s="250"/>
      <c r="AM3" s="250"/>
      <c r="AN3" s="250"/>
      <c r="AO3" s="250"/>
      <c r="AP3" s="250"/>
      <c r="AQ3" s="250"/>
      <c r="AR3" s="250"/>
    </row>
    <row r="4" spans="4:44" ht="15">
      <c r="D4" s="247"/>
      <c r="E4" s="247"/>
      <c r="G4" s="1569"/>
      <c r="H4" s="1223"/>
      <c r="I4" s="1557" t="s">
        <v>795</v>
      </c>
      <c r="J4" s="1557"/>
      <c r="K4" s="1557"/>
      <c r="L4" s="1557"/>
      <c r="M4" s="1557"/>
      <c r="N4" s="1565">
        <f>VLOOKUP("TV ESPECIAL SARH 01 30H",RHE,5,FALSE)</f>
        <v>41365</v>
      </c>
      <c r="O4" s="1566">
        <f>VLOOKUP("TV ESPECIAL SARH 01 30H",RHE,10,FALSE)</f>
        <v>438.85</v>
      </c>
      <c r="P4" s="762"/>
      <c r="Q4" s="1570"/>
      <c r="R4" s="1571"/>
      <c r="S4" s="1557" t="s">
        <v>795</v>
      </c>
      <c r="T4" s="1557"/>
      <c r="U4" s="1227" t="e">
        <f>MAX(VIG_CAIXA_INF,VIG_CAIXA_SUP,"1/1/2005")</f>
        <v>#REF!</v>
      </c>
      <c r="V4" s="1568"/>
      <c r="W4" s="358"/>
      <c r="X4" s="358"/>
      <c r="Y4" s="358"/>
      <c r="Z4" s="358"/>
      <c r="AA4" s="1569"/>
      <c r="AB4" s="1223"/>
      <c r="AC4" s="1557" t="s">
        <v>636</v>
      </c>
      <c r="AD4" s="1557"/>
      <c r="AE4" s="1557"/>
      <c r="AF4" s="1565">
        <f>VLOOKUP("TV COMISS ESP SARH 01 30H",RHE,5,FALSE)</f>
        <v>41365</v>
      </c>
      <c r="AG4" s="1566">
        <f>VLOOKUP("TV COMISS ESP SARH 01 30H",RHE,10,FALSE)</f>
        <v>3996.32</v>
      </c>
      <c r="AH4" s="358"/>
      <c r="AI4" s="244"/>
      <c r="AJ4" s="359"/>
      <c r="AK4" s="250"/>
      <c r="AL4" s="250"/>
      <c r="AM4" s="250"/>
      <c r="AN4" s="250"/>
      <c r="AO4" s="250"/>
      <c r="AP4" s="250"/>
      <c r="AQ4" s="250"/>
      <c r="AR4" s="250"/>
    </row>
    <row r="5" spans="4:44" ht="15">
      <c r="D5" s="247"/>
      <c r="E5" s="247"/>
      <c r="G5" s="389"/>
      <c r="H5" s="223"/>
      <c r="I5" s="368"/>
      <c r="J5" s="209"/>
      <c r="K5" s="209"/>
      <c r="L5" s="209"/>
      <c r="M5" s="209"/>
      <c r="N5" s="209"/>
      <c r="O5" s="390"/>
      <c r="P5" s="760"/>
      <c r="Q5" s="389"/>
      <c r="R5" s="223"/>
      <c r="S5" s="1573" t="s">
        <v>637</v>
      </c>
      <c r="T5" s="1573"/>
      <c r="U5" s="209"/>
      <c r="V5" s="390"/>
      <c r="W5" s="358"/>
      <c r="X5" s="358"/>
      <c r="Y5" s="358"/>
      <c r="Z5" s="358"/>
      <c r="AA5" s="389"/>
      <c r="AB5" s="223"/>
      <c r="AC5" s="368"/>
      <c r="AD5" s="209"/>
      <c r="AE5" s="209"/>
      <c r="AF5" s="209"/>
      <c r="AG5" s="390"/>
      <c r="AH5" s="358"/>
      <c r="AI5" s="358"/>
      <c r="AJ5" s="358"/>
      <c r="AK5" s="250"/>
      <c r="AL5" s="250"/>
      <c r="AM5" s="250"/>
      <c r="AN5" s="250"/>
      <c r="AO5" s="250"/>
      <c r="AP5" s="250"/>
      <c r="AQ5" s="250"/>
      <c r="AR5" s="250"/>
    </row>
    <row r="6" spans="4:44" ht="12.75">
      <c r="D6" s="247"/>
      <c r="E6" s="247"/>
      <c r="G6" s="379"/>
      <c r="H6" s="264"/>
      <c r="I6" s="369"/>
      <c r="J6" s="250"/>
      <c r="K6" s="250"/>
      <c r="L6" s="250"/>
      <c r="M6" s="250"/>
      <c r="N6" s="250"/>
      <c r="O6" s="380"/>
      <c r="P6" s="250"/>
      <c r="Q6" s="379"/>
      <c r="R6" s="264"/>
      <c r="S6" s="250"/>
      <c r="T6" s="250"/>
      <c r="U6" s="250"/>
      <c r="V6" s="380"/>
      <c r="W6" s="250"/>
      <c r="X6" s="250"/>
      <c r="Y6" s="250"/>
      <c r="Z6" s="250"/>
      <c r="AA6" s="379"/>
      <c r="AB6" s="264"/>
      <c r="AC6" s="369"/>
      <c r="AD6" s="250"/>
      <c r="AE6" s="250"/>
      <c r="AF6" s="250"/>
      <c r="AG6" s="380"/>
      <c r="AH6" s="250"/>
      <c r="AI6" s="250"/>
      <c r="AJ6" s="360"/>
      <c r="AK6" s="250"/>
      <c r="AL6" s="250"/>
      <c r="AM6" s="250"/>
      <c r="AN6" s="250"/>
      <c r="AO6" s="250"/>
      <c r="AP6" s="250"/>
      <c r="AQ6" s="250"/>
      <c r="AR6" s="250"/>
    </row>
    <row r="7" spans="7:44" ht="13.5" thickBot="1">
      <c r="G7" s="379"/>
      <c r="H7" s="264"/>
      <c r="I7" s="369"/>
      <c r="J7" s="250"/>
      <c r="K7" s="250"/>
      <c r="L7" s="250"/>
      <c r="M7" s="250"/>
      <c r="N7" s="250"/>
      <c r="O7" s="380"/>
      <c r="P7" s="250"/>
      <c r="Q7" s="379"/>
      <c r="R7" s="264"/>
      <c r="S7" s="250"/>
      <c r="T7" s="250"/>
      <c r="U7" s="250"/>
      <c r="V7" s="380"/>
      <c r="W7" s="250"/>
      <c r="X7" s="250"/>
      <c r="Y7" s="250"/>
      <c r="Z7" s="250"/>
      <c r="AA7" s="379"/>
      <c r="AB7" s="264"/>
      <c r="AC7" s="369"/>
      <c r="AD7" s="250"/>
      <c r="AE7" s="250"/>
      <c r="AF7" s="250"/>
      <c r="AG7" s="380"/>
      <c r="AH7" s="250"/>
      <c r="AI7" s="250"/>
      <c r="AJ7" s="360"/>
      <c r="AK7" s="250"/>
      <c r="AL7" s="250"/>
      <c r="AM7" s="250"/>
      <c r="AN7" s="250"/>
      <c r="AO7" s="250"/>
      <c r="AP7" s="250"/>
      <c r="AQ7" s="250"/>
      <c r="AR7" s="250"/>
    </row>
    <row r="8" spans="2:44" ht="21.75" customHeight="1" thickBot="1">
      <c r="B8" s="285"/>
      <c r="C8" s="285"/>
      <c r="D8" s="285"/>
      <c r="E8" s="285"/>
      <c r="G8" s="379"/>
      <c r="H8" s="381" t="s">
        <v>721</v>
      </c>
      <c r="I8" s="382" t="s">
        <v>227</v>
      </c>
      <c r="J8" s="383" t="s">
        <v>722</v>
      </c>
      <c r="K8" s="365"/>
      <c r="L8" s="381" t="s">
        <v>721</v>
      </c>
      <c r="M8" s="382" t="s">
        <v>227</v>
      </c>
      <c r="N8" s="383" t="s">
        <v>722</v>
      </c>
      <c r="O8" s="380"/>
      <c r="P8" s="250"/>
      <c r="Q8" s="379"/>
      <c r="S8" s="381" t="s">
        <v>721</v>
      </c>
      <c r="T8" s="383" t="s">
        <v>722</v>
      </c>
      <c r="U8" s="365"/>
      <c r="V8" s="380"/>
      <c r="AA8" s="379"/>
      <c r="AC8" s="381" t="s">
        <v>721</v>
      </c>
      <c r="AD8" s="382" t="s">
        <v>227</v>
      </c>
      <c r="AE8" s="383" t="s">
        <v>722</v>
      </c>
      <c r="AF8" s="365"/>
      <c r="AG8" s="380"/>
      <c r="AH8" s="250"/>
      <c r="AI8" s="250"/>
      <c r="AJ8" s="360"/>
      <c r="AK8" s="250"/>
      <c r="AL8" s="250"/>
      <c r="AM8" s="250"/>
      <c r="AN8" s="250"/>
      <c r="AO8" s="250"/>
      <c r="AP8" s="250"/>
      <c r="AQ8" s="250"/>
      <c r="AR8" s="250"/>
    </row>
    <row r="9" spans="2:44" ht="21.75" customHeight="1" thickBot="1">
      <c r="B9" s="285"/>
      <c r="C9" s="285"/>
      <c r="D9" s="62" t="s">
        <v>561</v>
      </c>
      <c r="E9" s="63">
        <f>TAB34_DATA_VAL</f>
        <v>41365</v>
      </c>
      <c r="F9" s="252"/>
      <c r="G9" s="391"/>
      <c r="H9" s="295"/>
      <c r="I9" s="370"/>
      <c r="J9" s="297"/>
      <c r="K9" s="297"/>
      <c r="L9" s="250"/>
      <c r="M9" s="250"/>
      <c r="N9" s="250"/>
      <c r="O9" s="380"/>
      <c r="P9" s="250"/>
      <c r="Q9" s="391"/>
      <c r="S9" s="295"/>
      <c r="T9" s="297"/>
      <c r="U9" s="250"/>
      <c r="V9" s="380"/>
      <c r="X9" s="62" t="s">
        <v>1419</v>
      </c>
      <c r="Y9" s="63">
        <f>TAB34_DATA_VAL</f>
        <v>41365</v>
      </c>
      <c r="Z9" s="219"/>
      <c r="AA9" s="391"/>
      <c r="AC9" s="295"/>
      <c r="AD9" s="370"/>
      <c r="AE9" s="297"/>
      <c r="AF9" s="250"/>
      <c r="AG9" s="380"/>
      <c r="AH9" s="250"/>
      <c r="AI9" s="250"/>
      <c r="AJ9" s="360"/>
      <c r="AK9" s="250"/>
      <c r="AL9" s="250"/>
      <c r="AM9" s="250"/>
      <c r="AN9" s="250"/>
      <c r="AO9" s="250"/>
      <c r="AP9" s="250"/>
      <c r="AQ9" s="250"/>
      <c r="AR9" s="250"/>
    </row>
    <row r="10" spans="2:44" ht="21.75" customHeight="1">
      <c r="B10" s="286" t="s">
        <v>882</v>
      </c>
      <c r="C10" s="287">
        <f>TAB33_DATA_VAL</f>
        <v>41091</v>
      </c>
      <c r="D10" s="66" t="s">
        <v>281</v>
      </c>
      <c r="E10" s="65">
        <f aca="true" t="shared" si="0" ref="E10:E31">J10</f>
        <v>438.85</v>
      </c>
      <c r="F10" s="255"/>
      <c r="G10" s="392"/>
      <c r="H10" s="373" t="s">
        <v>1409</v>
      </c>
      <c r="I10" s="374" t="s">
        <v>446</v>
      </c>
      <c r="J10" s="916">
        <f>VLOOKUP("TV ESPECIAL SARH 01 30H",RHE,10,FALSE)</f>
        <v>438.85</v>
      </c>
      <c r="K10" s="366"/>
      <c r="L10" s="373" t="s">
        <v>1305</v>
      </c>
      <c r="M10" s="374" t="s">
        <v>490</v>
      </c>
      <c r="N10" s="916">
        <f>VLOOKUP("TV ESPECIAL SARH 23 30H",RHE,10,FALSE)</f>
        <v>1335.63</v>
      </c>
      <c r="O10" s="380"/>
      <c r="P10" s="250"/>
      <c r="Q10" s="392"/>
      <c r="S10" s="756">
        <v>81</v>
      </c>
      <c r="T10" s="919">
        <v>1342.9</v>
      </c>
      <c r="U10" s="366"/>
      <c r="V10" s="380"/>
      <c r="X10" s="66" t="s">
        <v>281</v>
      </c>
      <c r="Y10" s="65">
        <f aca="true" t="shared" si="1" ref="Y10:Y17">AE10</f>
        <v>3996.32</v>
      </c>
      <c r="Z10" s="87"/>
      <c r="AA10" s="392"/>
      <c r="AC10" s="373" t="s">
        <v>1409</v>
      </c>
      <c r="AD10" s="374" t="s">
        <v>514</v>
      </c>
      <c r="AE10" s="916">
        <f>VLOOKUP("TV COMISS ESP SARH 01 30H",RHE,10,FALSE)</f>
        <v>3996.32</v>
      </c>
      <c r="AF10" s="366"/>
      <c r="AG10" s="380"/>
      <c r="AH10" s="250"/>
      <c r="AI10" s="250"/>
      <c r="AJ10" s="360"/>
      <c r="AK10" s="250"/>
      <c r="AL10" s="250"/>
      <c r="AM10" s="250"/>
      <c r="AN10" s="250"/>
      <c r="AO10" s="250"/>
      <c r="AP10" s="250"/>
      <c r="AQ10" s="250"/>
      <c r="AR10" s="250"/>
    </row>
    <row r="11" spans="2:44" ht="21.75" customHeight="1">
      <c r="B11" s="288" t="s">
        <v>281</v>
      </c>
      <c r="C11" s="289">
        <f aca="true" t="shared" si="2" ref="C11:C31">J10</f>
        <v>438.85</v>
      </c>
      <c r="D11" s="66" t="s">
        <v>285</v>
      </c>
      <c r="E11" s="65">
        <f t="shared" si="0"/>
        <v>471.6</v>
      </c>
      <c r="F11" s="255"/>
      <c r="G11" s="392"/>
      <c r="H11" s="375" t="s">
        <v>1410</v>
      </c>
      <c r="I11" s="376" t="s">
        <v>447</v>
      </c>
      <c r="J11" s="917">
        <f>VLOOKUP("TV ESPECIAL SARH 02 30H",RHE,10,FALSE)</f>
        <v>471.6</v>
      </c>
      <c r="K11" s="366"/>
      <c r="L11" s="375" t="s">
        <v>1306</v>
      </c>
      <c r="M11" s="376" t="s">
        <v>491</v>
      </c>
      <c r="N11" s="917">
        <f>VLOOKUP("TV ESPECIAL SARH 24 30H",RHE,10,FALSE)</f>
        <v>1435.35</v>
      </c>
      <c r="O11" s="380"/>
      <c r="P11" s="250"/>
      <c r="Q11" s="392"/>
      <c r="S11" s="757">
        <v>82</v>
      </c>
      <c r="T11" s="920">
        <v>1443.2</v>
      </c>
      <c r="U11" s="366"/>
      <c r="V11" s="380"/>
      <c r="X11" s="66" t="s">
        <v>285</v>
      </c>
      <c r="Y11" s="65">
        <f t="shared" si="1"/>
        <v>2141.7</v>
      </c>
      <c r="Z11" s="87"/>
      <c r="AA11" s="392"/>
      <c r="AC11" s="375" t="s">
        <v>1410</v>
      </c>
      <c r="AD11" s="376" t="s">
        <v>515</v>
      </c>
      <c r="AE11" s="917">
        <f>VLOOKUP("TV COMISS ESP SARH 02 30H",RHE,10,FALSE)</f>
        <v>2141.7</v>
      </c>
      <c r="AF11" s="366"/>
      <c r="AG11" s="380"/>
      <c r="AH11" s="361"/>
      <c r="AI11" s="360"/>
      <c r="AJ11" s="360"/>
      <c r="AK11" s="250"/>
      <c r="AL11" s="250"/>
      <c r="AM11" s="250"/>
      <c r="AN11" s="250"/>
      <c r="AO11" s="250"/>
      <c r="AP11" s="250"/>
      <c r="AQ11" s="250"/>
      <c r="AR11" s="250"/>
    </row>
    <row r="12" spans="2:44" ht="21.75" customHeight="1">
      <c r="B12" s="288" t="s">
        <v>285</v>
      </c>
      <c r="C12" s="289">
        <f t="shared" si="2"/>
        <v>471.6</v>
      </c>
      <c r="D12" s="66" t="s">
        <v>289</v>
      </c>
      <c r="E12" s="65">
        <f t="shared" si="0"/>
        <v>506.94</v>
      </c>
      <c r="F12" s="255"/>
      <c r="G12" s="392"/>
      <c r="H12" s="375" t="s">
        <v>1411</v>
      </c>
      <c r="I12" s="376" t="s">
        <v>448</v>
      </c>
      <c r="J12" s="917">
        <f>VLOOKUP("TV ESPECIAL SARH 03 30H",RHE,10,FALSE)</f>
        <v>506.94</v>
      </c>
      <c r="K12" s="366"/>
      <c r="L12" s="375" t="s">
        <v>1307</v>
      </c>
      <c r="M12" s="376" t="s">
        <v>492</v>
      </c>
      <c r="N12" s="917">
        <f>VLOOKUP("TV ESPECIAL SARH 25 30H",RHE,10,FALSE)</f>
        <v>1542.26</v>
      </c>
      <c r="O12" s="380"/>
      <c r="P12" s="250"/>
      <c r="Q12" s="392"/>
      <c r="S12" s="757">
        <v>83</v>
      </c>
      <c r="T12" s="920">
        <v>1550.7</v>
      </c>
      <c r="U12" s="366"/>
      <c r="V12" s="380"/>
      <c r="X12" s="66" t="s">
        <v>289</v>
      </c>
      <c r="Y12" s="65">
        <f t="shared" si="1"/>
        <v>1058.71</v>
      </c>
      <c r="Z12" s="87"/>
      <c r="AA12" s="392"/>
      <c r="AC12" s="375" t="s">
        <v>1411</v>
      </c>
      <c r="AD12" s="376" t="s">
        <v>516</v>
      </c>
      <c r="AE12" s="917">
        <f>VLOOKUP("TV COMISS ESP SARH 03 30H",RHE,10,FALSE)</f>
        <v>1058.71</v>
      </c>
      <c r="AF12" s="366"/>
      <c r="AG12" s="380"/>
      <c r="AH12" s="361"/>
      <c r="AI12" s="360"/>
      <c r="AJ12" s="360"/>
      <c r="AK12" s="250"/>
      <c r="AL12" s="250"/>
      <c r="AM12" s="250"/>
      <c r="AN12" s="250"/>
      <c r="AO12" s="250"/>
      <c r="AP12" s="250"/>
      <c r="AQ12" s="250"/>
      <c r="AR12" s="250"/>
    </row>
    <row r="13" spans="2:44" ht="21.75" customHeight="1">
      <c r="B13" s="288" t="s">
        <v>289</v>
      </c>
      <c r="C13" s="289">
        <f t="shared" si="2"/>
        <v>506.94</v>
      </c>
      <c r="D13" s="66" t="s">
        <v>60</v>
      </c>
      <c r="E13" s="65">
        <f t="shared" si="0"/>
        <v>544.73</v>
      </c>
      <c r="F13" s="255"/>
      <c r="G13" s="392"/>
      <c r="H13" s="375" t="s">
        <v>1412</v>
      </c>
      <c r="I13" s="376" t="s">
        <v>449</v>
      </c>
      <c r="J13" s="917">
        <f>VLOOKUP("TV ESPECIAL SARH 04 30H",RHE,10,FALSE)</f>
        <v>544.73</v>
      </c>
      <c r="K13" s="366"/>
      <c r="L13" s="375" t="s">
        <v>1308</v>
      </c>
      <c r="M13" s="376" t="s">
        <v>493</v>
      </c>
      <c r="N13" s="917">
        <f>VLOOKUP("TV ESPECIAL SARH 26 30H",RHE,10,FALSE)</f>
        <v>1657.2</v>
      </c>
      <c r="O13" s="380"/>
      <c r="P13" s="250"/>
      <c r="Q13" s="392"/>
      <c r="S13" s="757">
        <v>84</v>
      </c>
      <c r="T13" s="920">
        <v>1666.5</v>
      </c>
      <c r="U13" s="366"/>
      <c r="V13" s="380"/>
      <c r="X13" s="66" t="s">
        <v>60</v>
      </c>
      <c r="Y13" s="65">
        <f t="shared" si="1"/>
        <v>2037.12</v>
      </c>
      <c r="Z13" s="87"/>
      <c r="AA13" s="392"/>
      <c r="AC13" s="375" t="s">
        <v>1412</v>
      </c>
      <c r="AD13" s="376" t="s">
        <v>517</v>
      </c>
      <c r="AE13" s="917">
        <f>VLOOKUP("TV COMISS ESP SARH 04 30H",RHE,10,FALSE)</f>
        <v>2037.12</v>
      </c>
      <c r="AF13" s="366"/>
      <c r="AG13" s="380"/>
      <c r="AH13" s="361"/>
      <c r="AI13" s="360"/>
      <c r="AJ13" s="360"/>
      <c r="AK13" s="250"/>
      <c r="AL13" s="250"/>
      <c r="AM13" s="250"/>
      <c r="AN13" s="250"/>
      <c r="AO13" s="250"/>
      <c r="AP13" s="250"/>
      <c r="AQ13" s="250"/>
      <c r="AR13" s="250"/>
    </row>
    <row r="14" spans="2:44" ht="21.75" customHeight="1">
      <c r="B14" s="288" t="s">
        <v>60</v>
      </c>
      <c r="C14" s="289">
        <f t="shared" si="2"/>
        <v>544.73</v>
      </c>
      <c r="D14" s="66" t="s">
        <v>63</v>
      </c>
      <c r="E14" s="65">
        <f t="shared" si="0"/>
        <v>585.25</v>
      </c>
      <c r="F14" s="255"/>
      <c r="G14" s="392"/>
      <c r="H14" s="375" t="s">
        <v>1413</v>
      </c>
      <c r="I14" s="376" t="s">
        <v>450</v>
      </c>
      <c r="J14" s="917">
        <f>VLOOKUP("TV ESPECIAL SARH 05 30H",RHE,10,FALSE)</f>
        <v>585.25</v>
      </c>
      <c r="K14" s="366"/>
      <c r="L14" s="1572" t="s">
        <v>1309</v>
      </c>
      <c r="M14" s="401" t="s">
        <v>494</v>
      </c>
      <c r="N14" s="1567">
        <f>VLOOKUP("TV ESPECIAL SARH 27 30H",RHE,10,FALSE)</f>
        <v>1780.91</v>
      </c>
      <c r="O14" s="380"/>
      <c r="P14" s="250"/>
      <c r="Q14" s="392"/>
      <c r="S14" s="757">
        <v>85</v>
      </c>
      <c r="T14" s="920">
        <v>1790.6</v>
      </c>
      <c r="U14" s="1575"/>
      <c r="V14" s="380"/>
      <c r="X14" s="66" t="s">
        <v>63</v>
      </c>
      <c r="Y14" s="65">
        <f t="shared" si="1"/>
        <v>1112.49</v>
      </c>
      <c r="Z14" s="87"/>
      <c r="AA14" s="392"/>
      <c r="AC14" s="375" t="s">
        <v>1413</v>
      </c>
      <c r="AD14" s="376" t="s">
        <v>518</v>
      </c>
      <c r="AE14" s="917">
        <f>VLOOKUP("TV COMISS ESP SARH 05 30H",RHE,10,FALSE)</f>
        <v>1112.49</v>
      </c>
      <c r="AF14" s="403"/>
      <c r="AG14" s="380"/>
      <c r="AH14" s="361"/>
      <c r="AI14" s="360"/>
      <c r="AJ14" s="360"/>
      <c r="AK14" s="250"/>
      <c r="AL14" s="250"/>
      <c r="AM14" s="250"/>
      <c r="AN14" s="250"/>
      <c r="AO14" s="250"/>
      <c r="AP14" s="250"/>
      <c r="AQ14" s="250"/>
      <c r="AR14" s="250"/>
    </row>
    <row r="15" spans="2:44" ht="21.75" customHeight="1">
      <c r="B15" s="288" t="s">
        <v>63</v>
      </c>
      <c r="C15" s="289">
        <f t="shared" si="2"/>
        <v>585.25</v>
      </c>
      <c r="D15" s="66" t="s">
        <v>863</v>
      </c>
      <c r="E15" s="65">
        <f t="shared" si="0"/>
        <v>628.8</v>
      </c>
      <c r="F15" s="255"/>
      <c r="G15" s="392"/>
      <c r="H15" s="375" t="s">
        <v>1414</v>
      </c>
      <c r="I15" s="376" t="s">
        <v>451</v>
      </c>
      <c r="J15" s="917">
        <f>VLOOKUP("TV ESPECIAL SARH 06 30H",RHE,10,FALSE)</f>
        <v>628.8</v>
      </c>
      <c r="K15" s="366"/>
      <c r="L15" s="1572"/>
      <c r="M15" s="402" t="s">
        <v>505</v>
      </c>
      <c r="N15" s="1567">
        <f>VLOOKUP("TV ESPECIAL SARH 01 30H",RHE,10,FALSE)</f>
        <v>438.85</v>
      </c>
      <c r="O15" s="380"/>
      <c r="P15" s="250"/>
      <c r="Q15" s="392"/>
      <c r="S15" s="757">
        <v>86</v>
      </c>
      <c r="T15" s="920">
        <v>1924.1</v>
      </c>
      <c r="U15" s="1575"/>
      <c r="V15" s="380"/>
      <c r="X15" s="66" t="s">
        <v>863</v>
      </c>
      <c r="Y15" s="65">
        <f t="shared" si="1"/>
        <v>877.74</v>
      </c>
      <c r="Z15" s="87"/>
      <c r="AA15" s="392"/>
      <c r="AC15" s="375" t="s">
        <v>1414</v>
      </c>
      <c r="AD15" s="376" t="s">
        <v>519</v>
      </c>
      <c r="AE15" s="917">
        <f>VLOOKUP("TV COMISS ESP SARH 06 30H",RHE,10,FALSE)</f>
        <v>877.74</v>
      </c>
      <c r="AF15" s="403"/>
      <c r="AG15" s="380"/>
      <c r="AH15" s="361"/>
      <c r="AI15" s="360"/>
      <c r="AJ15" s="360"/>
      <c r="AK15" s="250"/>
      <c r="AL15" s="250"/>
      <c r="AM15" s="250"/>
      <c r="AN15" s="250"/>
      <c r="AO15" s="250"/>
      <c r="AP15" s="250"/>
      <c r="AQ15" s="250"/>
      <c r="AR15" s="250"/>
    </row>
    <row r="16" spans="2:44" ht="21.75" customHeight="1">
      <c r="B16" s="288" t="s">
        <v>863</v>
      </c>
      <c r="C16" s="289">
        <f t="shared" si="2"/>
        <v>628.8</v>
      </c>
      <c r="D16" s="66" t="s">
        <v>865</v>
      </c>
      <c r="E16" s="65">
        <f t="shared" si="0"/>
        <v>675.79</v>
      </c>
      <c r="F16" s="255"/>
      <c r="G16" s="392"/>
      <c r="H16" s="375" t="s">
        <v>1415</v>
      </c>
      <c r="I16" s="376" t="s">
        <v>452</v>
      </c>
      <c r="J16" s="917">
        <f>VLOOKUP("TV ESPECIAL SARH 07 30H",RHE,10,FALSE)</f>
        <v>675.79</v>
      </c>
      <c r="K16" s="366"/>
      <c r="L16" s="1572" t="s">
        <v>1310</v>
      </c>
      <c r="M16" s="401" t="s">
        <v>495</v>
      </c>
      <c r="N16" s="1567">
        <f>VLOOKUP("TV ESPECIAL SARH 28 30H",RHE,10,FALSE)</f>
        <v>1913.84</v>
      </c>
      <c r="O16" s="380"/>
      <c r="P16" s="250"/>
      <c r="Q16" s="392"/>
      <c r="S16" s="757">
        <v>87</v>
      </c>
      <c r="T16" s="920">
        <v>2067.8</v>
      </c>
      <c r="U16" s="1575"/>
      <c r="V16" s="380"/>
      <c r="X16" s="66" t="s">
        <v>865</v>
      </c>
      <c r="Y16" s="65">
        <f t="shared" si="1"/>
        <v>629.05</v>
      </c>
      <c r="Z16" s="87"/>
      <c r="AA16" s="392"/>
      <c r="AC16" s="375" t="s">
        <v>1415</v>
      </c>
      <c r="AD16" s="376" t="s">
        <v>520</v>
      </c>
      <c r="AE16" s="917">
        <f>VLOOKUP("TV COMISS ESP SARH 07 30H",RHE,10,FALSE)</f>
        <v>629.05</v>
      </c>
      <c r="AF16" s="403"/>
      <c r="AG16" s="380"/>
      <c r="AH16" s="361"/>
      <c r="AI16" s="360"/>
      <c r="AJ16" s="360"/>
      <c r="AK16" s="250"/>
      <c r="AL16" s="250"/>
      <c r="AM16" s="250"/>
      <c r="AN16" s="250"/>
      <c r="AO16" s="250"/>
      <c r="AP16" s="250"/>
      <c r="AQ16" s="250"/>
      <c r="AR16" s="250"/>
    </row>
    <row r="17" spans="2:44" ht="21.75" customHeight="1" thickBot="1">
      <c r="B17" s="288" t="s">
        <v>865</v>
      </c>
      <c r="C17" s="289">
        <f t="shared" si="2"/>
        <v>675.79</v>
      </c>
      <c r="D17" s="66" t="s">
        <v>867</v>
      </c>
      <c r="E17" s="65">
        <f t="shared" si="0"/>
        <v>726.06</v>
      </c>
      <c r="F17" s="255"/>
      <c r="G17" s="392"/>
      <c r="H17" s="375" t="s">
        <v>1416</v>
      </c>
      <c r="I17" s="376" t="s">
        <v>453</v>
      </c>
      <c r="J17" s="917">
        <f>VLOOKUP("TV ESPECIAL SARH 08 30H",RHE,10,FALSE)</f>
        <v>726.06</v>
      </c>
      <c r="K17" s="366"/>
      <c r="L17" s="1572"/>
      <c r="M17" s="402" t="s">
        <v>506</v>
      </c>
      <c r="N17" s="1567">
        <f>VLOOKUP("TV ESPECIAL SARH 01 30H",RHE,10,FALSE)</f>
        <v>438.85</v>
      </c>
      <c r="O17" s="380"/>
      <c r="P17" s="250"/>
      <c r="Q17" s="392"/>
      <c r="S17" s="757">
        <v>88</v>
      </c>
      <c r="T17" s="920">
        <v>2222</v>
      </c>
      <c r="U17" s="1575"/>
      <c r="V17" s="380"/>
      <c r="X17" s="67" t="s">
        <v>867</v>
      </c>
      <c r="Y17" s="83">
        <f t="shared" si="1"/>
        <v>848.5</v>
      </c>
      <c r="Z17" s="87"/>
      <c r="AA17" s="392"/>
      <c r="AC17" s="377" t="s">
        <v>1416</v>
      </c>
      <c r="AD17" s="378" t="s">
        <v>522</v>
      </c>
      <c r="AE17" s="921">
        <v>848.5</v>
      </c>
      <c r="AF17" s="403"/>
      <c r="AG17" s="380"/>
      <c r="AH17" s="361"/>
      <c r="AI17" s="360"/>
      <c r="AJ17" s="360"/>
      <c r="AK17" s="250"/>
      <c r="AL17" s="250"/>
      <c r="AM17" s="250"/>
      <c r="AN17" s="250"/>
      <c r="AO17" s="250"/>
      <c r="AP17" s="250"/>
      <c r="AQ17" s="250"/>
      <c r="AR17" s="250"/>
    </row>
    <row r="18" spans="2:44" ht="21.75" customHeight="1" thickBot="1">
      <c r="B18" s="288" t="s">
        <v>867</v>
      </c>
      <c r="C18" s="289">
        <f t="shared" si="2"/>
        <v>726.06</v>
      </c>
      <c r="D18" s="66" t="s">
        <v>868</v>
      </c>
      <c r="E18" s="65">
        <f t="shared" si="0"/>
        <v>780.54</v>
      </c>
      <c r="F18" s="255"/>
      <c r="G18" s="392"/>
      <c r="H18" s="375" t="s">
        <v>1417</v>
      </c>
      <c r="I18" s="376" t="s">
        <v>454</v>
      </c>
      <c r="J18" s="917">
        <f>VLOOKUP("TV ESPECIAL SARH 09 30H",RHE,10,FALSE)</f>
        <v>780.54</v>
      </c>
      <c r="K18" s="366"/>
      <c r="L18" s="1572" t="s">
        <v>1311</v>
      </c>
      <c r="M18" s="401" t="s">
        <v>496</v>
      </c>
      <c r="N18" s="1567">
        <f>VLOOKUP("TV ESPECIAL SARH 29 30H",RHE,10,FALSE)</f>
        <v>2056.53</v>
      </c>
      <c r="O18" s="380"/>
      <c r="P18" s="250"/>
      <c r="Q18" s="392"/>
      <c r="S18" s="757">
        <v>89</v>
      </c>
      <c r="T18" s="920">
        <v>2387.5</v>
      </c>
      <c r="U18" s="1575"/>
      <c r="V18" s="380"/>
      <c r="AA18" s="392"/>
      <c r="AB18" s="372"/>
      <c r="AF18" s="403"/>
      <c r="AG18" s="380"/>
      <c r="AH18" s="361"/>
      <c r="AI18" s="360"/>
      <c r="AJ18" s="360"/>
      <c r="AK18" s="250"/>
      <c r="AL18" s="250"/>
      <c r="AM18" s="250"/>
      <c r="AN18" s="250"/>
      <c r="AO18" s="250"/>
      <c r="AP18" s="250"/>
      <c r="AQ18" s="250"/>
      <c r="AR18" s="250"/>
    </row>
    <row r="19" spans="2:44" ht="21.75" customHeight="1" thickBot="1">
      <c r="B19" s="288" t="s">
        <v>868</v>
      </c>
      <c r="C19" s="289">
        <f t="shared" si="2"/>
        <v>780.54</v>
      </c>
      <c r="D19" s="66" t="s">
        <v>869</v>
      </c>
      <c r="E19" s="65">
        <f t="shared" si="0"/>
        <v>838.29</v>
      </c>
      <c r="F19" s="255"/>
      <c r="G19" s="392"/>
      <c r="H19" s="375" t="s">
        <v>1292</v>
      </c>
      <c r="I19" s="376" t="s">
        <v>455</v>
      </c>
      <c r="J19" s="917">
        <f>VLOOKUP("TV ESPECIAL SARH 10 30H",RHE,10,FALSE)</f>
        <v>838.29</v>
      </c>
      <c r="K19" s="366"/>
      <c r="L19" s="1572"/>
      <c r="M19" s="402" t="s">
        <v>507</v>
      </c>
      <c r="N19" s="1567">
        <f>VLOOKUP("TV ESPECIAL SARH 01 30H",RHE,10,FALSE)</f>
        <v>438.85</v>
      </c>
      <c r="O19" s="380"/>
      <c r="P19" s="250"/>
      <c r="Q19" s="392"/>
      <c r="S19" s="758">
        <v>90</v>
      </c>
      <c r="T19" s="921">
        <v>2565.8</v>
      </c>
      <c r="U19" s="1575"/>
      <c r="V19" s="380"/>
      <c r="AA19" s="392"/>
      <c r="AB19" s="372"/>
      <c r="AC19" s="1558" t="s">
        <v>523</v>
      </c>
      <c r="AD19" s="1559"/>
      <c r="AE19" s="1560"/>
      <c r="AF19" s="403"/>
      <c r="AG19" s="380"/>
      <c r="AH19" s="361"/>
      <c r="AI19" s="360"/>
      <c r="AJ19" s="360"/>
      <c r="AK19" s="250"/>
      <c r="AL19" s="250"/>
      <c r="AM19" s="250"/>
      <c r="AN19" s="250"/>
      <c r="AO19" s="250"/>
      <c r="AP19" s="250"/>
      <c r="AQ19" s="250"/>
      <c r="AR19" s="250"/>
    </row>
    <row r="20" spans="2:44" ht="21.75" customHeight="1" thickBot="1">
      <c r="B20" s="288" t="s">
        <v>869</v>
      </c>
      <c r="C20" s="289">
        <f t="shared" si="2"/>
        <v>838.29</v>
      </c>
      <c r="D20" s="66" t="s">
        <v>708</v>
      </c>
      <c r="E20" s="65">
        <f t="shared" si="0"/>
        <v>900.81</v>
      </c>
      <c r="F20" s="255"/>
      <c r="G20" s="392"/>
      <c r="H20" s="375" t="s">
        <v>1293</v>
      </c>
      <c r="I20" s="376" t="s">
        <v>456</v>
      </c>
      <c r="J20" s="917">
        <f>VLOOKUP("TV ESPECIAL SARH 11 30H",RHE,10,FALSE)</f>
        <v>900.81</v>
      </c>
      <c r="K20" s="366"/>
      <c r="L20" s="1572" t="s">
        <v>1312</v>
      </c>
      <c r="M20" s="401" t="s">
        <v>497</v>
      </c>
      <c r="N20" s="1567">
        <f>VLOOKUP("TV ESPECIAL SARH 30 30H",RHE,10,FALSE)</f>
        <v>2209.84</v>
      </c>
      <c r="O20" s="380"/>
      <c r="P20" s="250"/>
      <c r="Q20" s="392"/>
      <c r="R20" s="372"/>
      <c r="S20" s="366"/>
      <c r="T20" s="1574"/>
      <c r="U20" s="1575"/>
      <c r="V20" s="380"/>
      <c r="AA20" s="392"/>
      <c r="AB20" s="372"/>
      <c r="AC20" s="1561"/>
      <c r="AD20" s="1562"/>
      <c r="AE20" s="1563"/>
      <c r="AF20" s="403"/>
      <c r="AG20" s="380"/>
      <c r="AH20" s="361"/>
      <c r="AI20" s="360"/>
      <c r="AJ20" s="360"/>
      <c r="AK20" s="250"/>
      <c r="AL20" s="250"/>
      <c r="AM20" s="250"/>
      <c r="AN20" s="250"/>
      <c r="AO20" s="250"/>
      <c r="AP20" s="250"/>
      <c r="AQ20" s="250"/>
      <c r="AR20" s="250"/>
    </row>
    <row r="21" spans="2:44" ht="21.75" customHeight="1">
      <c r="B21" s="288" t="s">
        <v>708</v>
      </c>
      <c r="C21" s="289">
        <f t="shared" si="2"/>
        <v>900.81</v>
      </c>
      <c r="D21" s="66" t="s">
        <v>709</v>
      </c>
      <c r="E21" s="65">
        <f t="shared" si="0"/>
        <v>968.05</v>
      </c>
      <c r="F21" s="255"/>
      <c r="G21" s="392"/>
      <c r="H21" s="375" t="s">
        <v>1294</v>
      </c>
      <c r="I21" s="376" t="s">
        <v>457</v>
      </c>
      <c r="J21" s="917">
        <f>VLOOKUP("TV ESPECIAL SARH 12 30H",RHE,10,FALSE)</f>
        <v>968.05</v>
      </c>
      <c r="K21" s="366"/>
      <c r="L21" s="1572"/>
      <c r="M21" s="402" t="s">
        <v>508</v>
      </c>
      <c r="N21" s="1567">
        <f>VLOOKUP("TV ESPECIAL SARH 01 30H",RHE,10,FALSE)</f>
        <v>438.85</v>
      </c>
      <c r="O21" s="380"/>
      <c r="P21" s="250"/>
      <c r="Q21" s="392"/>
      <c r="R21" s="372"/>
      <c r="S21" s="366"/>
      <c r="T21" s="1574"/>
      <c r="U21" s="1575"/>
      <c r="V21" s="380"/>
      <c r="AA21" s="392"/>
      <c r="AB21" s="372"/>
      <c r="AF21" s="403"/>
      <c r="AG21" s="380"/>
      <c r="AH21" s="361"/>
      <c r="AI21" s="360"/>
      <c r="AJ21" s="360"/>
      <c r="AK21" s="250"/>
      <c r="AL21" s="250"/>
      <c r="AM21" s="250"/>
      <c r="AN21" s="250"/>
      <c r="AO21" s="250"/>
      <c r="AP21" s="250"/>
      <c r="AQ21" s="250"/>
      <c r="AR21" s="250"/>
    </row>
    <row r="22" spans="2:44" ht="21.75" customHeight="1">
      <c r="B22" s="288" t="s">
        <v>709</v>
      </c>
      <c r="C22" s="289">
        <f t="shared" si="2"/>
        <v>968.05</v>
      </c>
      <c r="D22" s="66" t="s">
        <v>84</v>
      </c>
      <c r="E22" s="65">
        <f t="shared" si="0"/>
        <v>650.79</v>
      </c>
      <c r="F22" s="255"/>
      <c r="G22" s="392"/>
      <c r="H22" s="375" t="s">
        <v>1295</v>
      </c>
      <c r="I22" s="376" t="s">
        <v>475</v>
      </c>
      <c r="J22" s="917">
        <f>VLOOKUP("TV ESPECIAL SARH 13 30H",RHE,10,FALSE)</f>
        <v>650.79</v>
      </c>
      <c r="K22" s="366"/>
      <c r="L22" s="375" t="s">
        <v>1313</v>
      </c>
      <c r="M22" s="376" t="s">
        <v>498</v>
      </c>
      <c r="N22" s="917">
        <f>VLOOKUP("TV ESPECIAL SARH 31 30H",RHE,10,FALSE)</f>
        <v>2374.67</v>
      </c>
      <c r="O22" s="380"/>
      <c r="P22" s="250"/>
      <c r="Q22" s="392"/>
      <c r="R22" s="372"/>
      <c r="S22" s="366"/>
      <c r="T22" s="372"/>
      <c r="U22" s="366"/>
      <c r="V22" s="380"/>
      <c r="W22" s="360"/>
      <c r="X22" s="360"/>
      <c r="Y22" s="360"/>
      <c r="Z22" s="360"/>
      <c r="AA22" s="392"/>
      <c r="AB22" s="372"/>
      <c r="AF22" s="366"/>
      <c r="AG22" s="380"/>
      <c r="AH22" s="361"/>
      <c r="AI22" s="360"/>
      <c r="AJ22" s="360"/>
      <c r="AK22" s="250"/>
      <c r="AL22" s="250"/>
      <c r="AM22" s="250"/>
      <c r="AN22" s="250"/>
      <c r="AO22" s="250"/>
      <c r="AP22" s="250"/>
      <c r="AQ22" s="250"/>
      <c r="AR22" s="250"/>
    </row>
    <row r="23" spans="2:44" ht="21.75" customHeight="1">
      <c r="B23" s="288" t="s">
        <v>84</v>
      </c>
      <c r="C23" s="289">
        <f t="shared" si="2"/>
        <v>650.79</v>
      </c>
      <c r="D23" s="66" t="s">
        <v>85</v>
      </c>
      <c r="E23" s="65">
        <f t="shared" si="0"/>
        <v>699.2</v>
      </c>
      <c r="F23" s="255"/>
      <c r="G23" s="392"/>
      <c r="H23" s="375" t="s">
        <v>1296</v>
      </c>
      <c r="I23" s="376" t="s">
        <v>476</v>
      </c>
      <c r="J23" s="917">
        <f>VLOOKUP("TV ESPECIAL SARH 14 30H",RHE,10,FALSE)</f>
        <v>699.2</v>
      </c>
      <c r="K23" s="366"/>
      <c r="L23" s="375" t="s">
        <v>1314</v>
      </c>
      <c r="M23" s="376" t="s">
        <v>499</v>
      </c>
      <c r="N23" s="917">
        <f>VLOOKUP("TV ESPECIAL SARH 32 30H",RHE,10,FALSE)</f>
        <v>2551.83</v>
      </c>
      <c r="O23" s="380"/>
      <c r="P23" s="250"/>
      <c r="Q23" s="392"/>
      <c r="R23" s="372"/>
      <c r="S23" s="366"/>
      <c r="T23" s="372"/>
      <c r="U23" s="366"/>
      <c r="V23" s="380"/>
      <c r="W23" s="360"/>
      <c r="X23" s="360"/>
      <c r="Y23" s="360"/>
      <c r="Z23" s="360"/>
      <c r="AA23" s="392"/>
      <c r="AB23" s="372"/>
      <c r="AF23" s="366"/>
      <c r="AG23" s="380"/>
      <c r="AH23" s="361"/>
      <c r="AI23" s="360"/>
      <c r="AJ23" s="360"/>
      <c r="AK23" s="250"/>
      <c r="AL23" s="250"/>
      <c r="AM23" s="250"/>
      <c r="AN23" s="250"/>
      <c r="AO23" s="250"/>
      <c r="AP23" s="250"/>
      <c r="AQ23" s="250"/>
      <c r="AR23" s="250"/>
    </row>
    <row r="24" spans="2:44" ht="21.75" customHeight="1">
      <c r="B24" s="288" t="s">
        <v>85</v>
      </c>
      <c r="C24" s="289">
        <f t="shared" si="2"/>
        <v>699.2</v>
      </c>
      <c r="D24" s="66" t="s">
        <v>715</v>
      </c>
      <c r="E24" s="65">
        <f t="shared" si="0"/>
        <v>751.23</v>
      </c>
      <c r="F24" s="255"/>
      <c r="G24" s="392"/>
      <c r="H24" s="375" t="s">
        <v>1297</v>
      </c>
      <c r="I24" s="376" t="s">
        <v>477</v>
      </c>
      <c r="J24" s="917">
        <f>VLOOKUP("TV ESPECIAL SARH 15 30H",RHE,10,FALSE)</f>
        <v>751.23</v>
      </c>
      <c r="K24" s="366"/>
      <c r="L24" s="375" t="s">
        <v>1315</v>
      </c>
      <c r="M24" s="376" t="s">
        <v>500</v>
      </c>
      <c r="N24" s="917">
        <f>VLOOKUP("TV ESPECIAL SARH 33 30H",RHE,10,FALSE)</f>
        <v>2742.36</v>
      </c>
      <c r="O24" s="380"/>
      <c r="P24" s="250"/>
      <c r="Q24" s="392"/>
      <c r="R24" s="372"/>
      <c r="S24" s="366"/>
      <c r="T24" s="372"/>
      <c r="U24" s="366"/>
      <c r="V24" s="380"/>
      <c r="W24" s="360"/>
      <c r="X24" s="360"/>
      <c r="Y24" s="360"/>
      <c r="Z24" s="360"/>
      <c r="AA24" s="392"/>
      <c r="AB24" s="372"/>
      <c r="AF24" s="366"/>
      <c r="AG24" s="380"/>
      <c r="AH24" s="361"/>
      <c r="AI24" s="360"/>
      <c r="AJ24" s="360"/>
      <c r="AK24" s="250"/>
      <c r="AL24" s="250"/>
      <c r="AM24" s="250"/>
      <c r="AN24" s="250"/>
      <c r="AO24" s="250"/>
      <c r="AP24" s="250"/>
      <c r="AQ24" s="250"/>
      <c r="AR24" s="250"/>
    </row>
    <row r="25" spans="2:44" ht="21.75" customHeight="1">
      <c r="B25" s="288" t="s">
        <v>715</v>
      </c>
      <c r="C25" s="289">
        <f t="shared" si="2"/>
        <v>751.23</v>
      </c>
      <c r="D25" s="66" t="s">
        <v>716</v>
      </c>
      <c r="E25" s="65">
        <f t="shared" si="0"/>
        <v>807.12</v>
      </c>
      <c r="F25" s="255"/>
      <c r="G25" s="392"/>
      <c r="H25" s="375" t="s">
        <v>1298</v>
      </c>
      <c r="I25" s="376" t="s">
        <v>478</v>
      </c>
      <c r="J25" s="917">
        <f>VLOOKUP("TV ESPECIAL SARH 16 30H",RHE,10,FALSE)</f>
        <v>807.12</v>
      </c>
      <c r="K25" s="366"/>
      <c r="L25" s="375" t="s">
        <v>1316</v>
      </c>
      <c r="M25" s="376" t="s">
        <v>502</v>
      </c>
      <c r="N25" s="917">
        <f>VLOOKUP("TV ESPECIAL SARH 34 30H",RHE,10,FALSE)</f>
        <v>2946.71</v>
      </c>
      <c r="O25" s="380"/>
      <c r="P25" s="250"/>
      <c r="Q25" s="392"/>
      <c r="R25" s="372"/>
      <c r="S25" s="366"/>
      <c r="T25" s="372"/>
      <c r="U25" s="366"/>
      <c r="V25" s="380"/>
      <c r="W25" s="360"/>
      <c r="X25" s="360"/>
      <c r="Y25" s="360"/>
      <c r="Z25" s="360"/>
      <c r="AA25" s="392"/>
      <c r="AB25" s="372"/>
      <c r="AF25" s="366"/>
      <c r="AG25" s="380"/>
      <c r="AH25" s="361"/>
      <c r="AI25" s="360"/>
      <c r="AJ25" s="360"/>
      <c r="AK25" s="250"/>
      <c r="AL25" s="250"/>
      <c r="AM25" s="250"/>
      <c r="AN25" s="250"/>
      <c r="AO25" s="250"/>
      <c r="AP25" s="250"/>
      <c r="AQ25" s="250"/>
      <c r="AR25" s="250"/>
    </row>
    <row r="26" spans="2:44" ht="21.75" customHeight="1">
      <c r="B26" s="288" t="s">
        <v>716</v>
      </c>
      <c r="C26" s="289">
        <f t="shared" si="2"/>
        <v>807.12</v>
      </c>
      <c r="D26" s="66" t="s">
        <v>717</v>
      </c>
      <c r="E26" s="65">
        <f t="shared" si="0"/>
        <v>867.49</v>
      </c>
      <c r="F26" s="255"/>
      <c r="G26" s="392"/>
      <c r="H26" s="375" t="s">
        <v>1299</v>
      </c>
      <c r="I26" s="376" t="s">
        <v>479</v>
      </c>
      <c r="J26" s="917">
        <f>VLOOKUP("TV ESPECIAL SARH 17 30H",RHE,10,FALSE)</f>
        <v>867.49</v>
      </c>
      <c r="K26" s="366"/>
      <c r="L26" s="375" t="s">
        <v>1317</v>
      </c>
      <c r="M26" s="376" t="s">
        <v>503</v>
      </c>
      <c r="N26" s="917">
        <f>VLOOKUP("TV ESPECIAL SARH 35 30H",RHE,10,FALSE)</f>
        <v>3166.4</v>
      </c>
      <c r="O26" s="380"/>
      <c r="P26" s="250"/>
      <c r="Q26" s="392"/>
      <c r="R26" s="372"/>
      <c r="S26" s="366"/>
      <c r="T26" s="372"/>
      <c r="U26" s="366"/>
      <c r="V26" s="380"/>
      <c r="W26" s="360"/>
      <c r="X26" s="360"/>
      <c r="Y26" s="360"/>
      <c r="Z26" s="360"/>
      <c r="AA26" s="392"/>
      <c r="AB26" s="372"/>
      <c r="AF26" s="366"/>
      <c r="AG26" s="380"/>
      <c r="AH26" s="361"/>
      <c r="AI26" s="360"/>
      <c r="AJ26" s="360"/>
      <c r="AK26" s="250"/>
      <c r="AL26" s="250"/>
      <c r="AM26" s="250"/>
      <c r="AN26" s="250"/>
      <c r="AO26" s="250"/>
      <c r="AP26" s="250"/>
      <c r="AQ26" s="250"/>
      <c r="AR26" s="250"/>
    </row>
    <row r="27" spans="2:44" ht="21.75" customHeight="1">
      <c r="B27" s="288" t="s">
        <v>717</v>
      </c>
      <c r="C27" s="289">
        <f t="shared" si="2"/>
        <v>867.49</v>
      </c>
      <c r="D27" s="66" t="s">
        <v>718</v>
      </c>
      <c r="E27" s="65">
        <f t="shared" si="0"/>
        <v>932.13</v>
      </c>
      <c r="F27" s="255"/>
      <c r="G27" s="392"/>
      <c r="H27" s="375" t="s">
        <v>1300</v>
      </c>
      <c r="I27" s="376" t="s">
        <v>480</v>
      </c>
      <c r="J27" s="917">
        <f>VLOOKUP("TV ESPECIAL SARH 18 30H",RHE,10,FALSE)</f>
        <v>932.13</v>
      </c>
      <c r="K27" s="366"/>
      <c r="L27" s="1572" t="s">
        <v>1318</v>
      </c>
      <c r="M27" s="401" t="s">
        <v>504</v>
      </c>
      <c r="N27" s="1567">
        <f>VLOOKUP("TV ESPECIAL SARH 36 30H",RHE,10,FALSE)</f>
        <v>3402.49</v>
      </c>
      <c r="O27" s="380"/>
      <c r="P27" s="250"/>
      <c r="Q27" s="392"/>
      <c r="R27" s="372"/>
      <c r="S27" s="366"/>
      <c r="T27" s="1574"/>
      <c r="U27" s="1575"/>
      <c r="V27" s="380"/>
      <c r="W27" s="360"/>
      <c r="X27" s="360"/>
      <c r="Y27" s="360"/>
      <c r="Z27" s="360"/>
      <c r="AA27" s="392"/>
      <c r="AB27" s="372"/>
      <c r="AF27" s="403"/>
      <c r="AG27" s="380"/>
      <c r="AH27" s="361"/>
      <c r="AI27" s="360"/>
      <c r="AJ27" s="360"/>
      <c r="AK27" s="250"/>
      <c r="AL27" s="250"/>
      <c r="AM27" s="250"/>
      <c r="AN27" s="250"/>
      <c r="AO27" s="250"/>
      <c r="AP27" s="250"/>
      <c r="AQ27" s="250"/>
      <c r="AR27" s="250"/>
    </row>
    <row r="28" spans="2:44" ht="21.75" customHeight="1">
      <c r="B28" s="288" t="s">
        <v>718</v>
      </c>
      <c r="C28" s="289">
        <f t="shared" si="2"/>
        <v>932.13</v>
      </c>
      <c r="D28" s="66" t="s">
        <v>719</v>
      </c>
      <c r="E28" s="65">
        <f t="shared" si="0"/>
        <v>1001.68</v>
      </c>
      <c r="F28" s="255"/>
      <c r="G28" s="392"/>
      <c r="H28" s="375" t="s">
        <v>1301</v>
      </c>
      <c r="I28" s="376" t="s">
        <v>481</v>
      </c>
      <c r="J28" s="917">
        <f>VLOOKUP("TV ESPECIAL SARH 19 30H",RHE,10,FALSE)</f>
        <v>1001.68</v>
      </c>
      <c r="K28" s="366"/>
      <c r="L28" s="1572"/>
      <c r="M28" s="402" t="s">
        <v>509</v>
      </c>
      <c r="N28" s="1567">
        <f>VLOOKUP("TV ESPECIAL SARH 01 30H",RHE,10,FALSE)</f>
        <v>438.85</v>
      </c>
      <c r="O28" s="380"/>
      <c r="P28" s="250"/>
      <c r="Q28" s="392"/>
      <c r="R28" s="372"/>
      <c r="S28" s="366"/>
      <c r="T28" s="1574"/>
      <c r="U28" s="1575"/>
      <c r="V28" s="380"/>
      <c r="W28" s="360"/>
      <c r="X28" s="360"/>
      <c r="Y28" s="360"/>
      <c r="Z28" s="360"/>
      <c r="AA28" s="392"/>
      <c r="AB28" s="372"/>
      <c r="AC28" s="370"/>
      <c r="AD28" s="366"/>
      <c r="AE28" s="366"/>
      <c r="AF28" s="403"/>
      <c r="AG28" s="380"/>
      <c r="AH28" s="361"/>
      <c r="AI28" s="360"/>
      <c r="AJ28" s="360"/>
      <c r="AK28" s="250"/>
      <c r="AL28" s="250"/>
      <c r="AM28" s="250"/>
      <c r="AN28" s="250"/>
      <c r="AO28" s="250"/>
      <c r="AP28" s="250"/>
      <c r="AQ28" s="250"/>
      <c r="AR28" s="250"/>
    </row>
    <row r="29" spans="2:44" ht="21.75" customHeight="1">
      <c r="B29" s="288" t="s">
        <v>719</v>
      </c>
      <c r="C29" s="289">
        <f t="shared" si="2"/>
        <v>1001.68</v>
      </c>
      <c r="D29" s="66" t="s">
        <v>720</v>
      </c>
      <c r="E29" s="65">
        <f t="shared" si="0"/>
        <v>1076.41</v>
      </c>
      <c r="F29" s="255"/>
      <c r="G29" s="392"/>
      <c r="H29" s="375" t="s">
        <v>1302</v>
      </c>
      <c r="I29" s="376" t="s">
        <v>482</v>
      </c>
      <c r="J29" s="917">
        <f>VLOOKUP("TV ESPECIAL SARH 20 30H",RHE,10,FALSE)</f>
        <v>1076.41</v>
      </c>
      <c r="K29" s="366"/>
      <c r="L29" s="375" t="s">
        <v>1319</v>
      </c>
      <c r="M29" s="376" t="s">
        <v>510</v>
      </c>
      <c r="N29" s="917">
        <f>VLOOKUP("TV ESPECIAL SARH 37 30H",RHE,10,FALSE)</f>
        <v>3656.84</v>
      </c>
      <c r="O29" s="380"/>
      <c r="P29" s="250"/>
      <c r="Q29" s="392"/>
      <c r="R29" s="372"/>
      <c r="S29" s="366"/>
      <c r="T29" s="372"/>
      <c r="U29" s="366"/>
      <c r="V29" s="380"/>
      <c r="W29" s="360"/>
      <c r="X29" s="360"/>
      <c r="Y29" s="360"/>
      <c r="Z29" s="360"/>
      <c r="AA29" s="392"/>
      <c r="AB29" s="372"/>
      <c r="AC29" s="370"/>
      <c r="AD29" s="366"/>
      <c r="AE29" s="366"/>
      <c r="AF29" s="366"/>
      <c r="AG29" s="380"/>
      <c r="AH29" s="361"/>
      <c r="AI29" s="360"/>
      <c r="AJ29" s="360"/>
      <c r="AK29" s="250"/>
      <c r="AL29" s="250"/>
      <c r="AM29" s="250"/>
      <c r="AN29" s="250"/>
      <c r="AO29" s="250"/>
      <c r="AP29" s="250"/>
      <c r="AQ29" s="250"/>
      <c r="AR29" s="250"/>
    </row>
    <row r="30" spans="2:44" ht="21.75" customHeight="1">
      <c r="B30" s="288" t="s">
        <v>720</v>
      </c>
      <c r="C30" s="289">
        <f t="shared" si="2"/>
        <v>1076.41</v>
      </c>
      <c r="D30" s="66" t="s">
        <v>870</v>
      </c>
      <c r="E30" s="65">
        <f t="shared" si="0"/>
        <v>1156.57</v>
      </c>
      <c r="F30" s="255"/>
      <c r="G30" s="392"/>
      <c r="H30" s="375" t="s">
        <v>1303</v>
      </c>
      <c r="I30" s="376" t="s">
        <v>488</v>
      </c>
      <c r="J30" s="917">
        <f>VLOOKUP("TV ESPECIAL SARH 21 30H",RHE,10,FALSE)</f>
        <v>1156.57</v>
      </c>
      <c r="K30" s="250"/>
      <c r="L30" s="375" t="s">
        <v>196</v>
      </c>
      <c r="M30" s="376" t="s">
        <v>511</v>
      </c>
      <c r="N30" s="917">
        <f>VLOOKUP("TV ESPECIAL SARH 38 30H",RHE,10,FALSE)</f>
        <v>3929.27</v>
      </c>
      <c r="O30" s="380"/>
      <c r="P30" s="250"/>
      <c r="Q30" s="392"/>
      <c r="R30" s="372"/>
      <c r="S30" s="250"/>
      <c r="T30" s="372"/>
      <c r="U30" s="366"/>
      <c r="V30" s="380"/>
      <c r="W30" s="360"/>
      <c r="X30" s="360"/>
      <c r="Y30" s="360"/>
      <c r="Z30" s="360"/>
      <c r="AA30" s="392"/>
      <c r="AB30" s="372"/>
      <c r="AC30" s="370"/>
      <c r="AD30" s="366"/>
      <c r="AE30" s="250"/>
      <c r="AF30" s="366"/>
      <c r="AG30" s="380"/>
      <c r="AH30" s="361"/>
      <c r="AI30" s="360"/>
      <c r="AJ30" s="360"/>
      <c r="AK30" s="250"/>
      <c r="AL30" s="250"/>
      <c r="AM30" s="250"/>
      <c r="AN30" s="250"/>
      <c r="AO30" s="250"/>
      <c r="AP30" s="250"/>
      <c r="AQ30" s="250"/>
      <c r="AR30" s="250"/>
    </row>
    <row r="31" spans="2:44" ht="21.75" customHeight="1" thickBot="1">
      <c r="B31" s="288" t="s">
        <v>870</v>
      </c>
      <c r="C31" s="289">
        <f t="shared" si="2"/>
        <v>1156.57</v>
      </c>
      <c r="D31" s="66" t="s">
        <v>871</v>
      </c>
      <c r="E31" s="65">
        <f t="shared" si="0"/>
        <v>1243.09</v>
      </c>
      <c r="F31" s="255"/>
      <c r="G31" s="392"/>
      <c r="H31" s="377" t="s">
        <v>1304</v>
      </c>
      <c r="I31" s="378" t="s">
        <v>489</v>
      </c>
      <c r="J31" s="918">
        <f>VLOOKUP("TV ESPECIAL SARH 22 30H",RHE,10,FALSE)</f>
        <v>1243.09</v>
      </c>
      <c r="K31" s="250"/>
      <c r="L31" s="377" t="s">
        <v>197</v>
      </c>
      <c r="M31" s="378" t="s">
        <v>512</v>
      </c>
      <c r="N31" s="918">
        <f>VLOOKUP("TV ESPECIAL SARH 39 30H",RHE,10,FALSE)</f>
        <v>4222.41</v>
      </c>
      <c r="O31" s="380"/>
      <c r="P31" s="250"/>
      <c r="Q31" s="392"/>
      <c r="R31" s="372"/>
      <c r="S31" s="250"/>
      <c r="T31" s="372"/>
      <c r="U31" s="366"/>
      <c r="V31" s="380"/>
      <c r="W31" s="360"/>
      <c r="X31" s="360"/>
      <c r="Y31" s="360"/>
      <c r="Z31" s="360"/>
      <c r="AA31" s="392"/>
      <c r="AB31" s="372"/>
      <c r="AC31" s="370"/>
      <c r="AD31" s="366"/>
      <c r="AE31" s="250"/>
      <c r="AF31" s="366"/>
      <c r="AG31" s="380"/>
      <c r="AH31" s="361"/>
      <c r="AI31" s="360"/>
      <c r="AJ31" s="360"/>
      <c r="AK31" s="250"/>
      <c r="AL31" s="250"/>
      <c r="AM31" s="250"/>
      <c r="AN31" s="250"/>
      <c r="AO31" s="250"/>
      <c r="AP31" s="250"/>
      <c r="AQ31" s="250"/>
      <c r="AR31" s="250"/>
    </row>
    <row r="32" spans="2:44" ht="21.75" customHeight="1" thickBot="1">
      <c r="B32" s="290" t="s">
        <v>871</v>
      </c>
      <c r="C32" s="291">
        <f>J20</f>
        <v>900.81</v>
      </c>
      <c r="D32" s="66" t="s">
        <v>879</v>
      </c>
      <c r="E32" s="65">
        <f>N10</f>
        <v>1335.63</v>
      </c>
      <c r="F32" s="255"/>
      <c r="G32" s="392"/>
      <c r="H32" s="264"/>
      <c r="I32" s="369"/>
      <c r="J32" s="250"/>
      <c r="K32" s="250"/>
      <c r="L32" s="250"/>
      <c r="M32" s="250"/>
      <c r="N32" s="250"/>
      <c r="O32" s="380"/>
      <c r="P32" s="250"/>
      <c r="Q32" s="392"/>
      <c r="R32" s="264"/>
      <c r="S32" s="250"/>
      <c r="T32" s="250"/>
      <c r="U32" s="250"/>
      <c r="V32" s="380"/>
      <c r="W32" s="360"/>
      <c r="X32" s="360"/>
      <c r="Y32" s="360"/>
      <c r="Z32" s="360"/>
      <c r="AA32" s="392"/>
      <c r="AB32" s="264"/>
      <c r="AC32" s="369"/>
      <c r="AD32" s="250"/>
      <c r="AE32" s="250"/>
      <c r="AF32" s="250"/>
      <c r="AG32" s="380"/>
      <c r="AH32" s="361"/>
      <c r="AI32" s="360"/>
      <c r="AJ32" s="360"/>
      <c r="AK32" s="250"/>
      <c r="AL32" s="250"/>
      <c r="AM32" s="250"/>
      <c r="AN32" s="250"/>
      <c r="AO32" s="250"/>
      <c r="AP32" s="250"/>
      <c r="AQ32" s="250"/>
      <c r="AR32" s="250"/>
    </row>
    <row r="33" spans="2:44" ht="21.75" customHeight="1">
      <c r="B33" s="292"/>
      <c r="C33" s="293"/>
      <c r="D33" s="66" t="s">
        <v>880</v>
      </c>
      <c r="E33" s="65">
        <f>N11</f>
        <v>1435.35</v>
      </c>
      <c r="F33" s="255"/>
      <c r="G33" s="392"/>
      <c r="H33" s="1558" t="s">
        <v>523</v>
      </c>
      <c r="I33" s="1559"/>
      <c r="J33" s="1559"/>
      <c r="K33" s="1559"/>
      <c r="L33" s="1559"/>
      <c r="M33" s="1559"/>
      <c r="N33" s="1560"/>
      <c r="O33" s="393"/>
      <c r="P33" s="361"/>
      <c r="Q33" s="392"/>
      <c r="R33" s="1558" t="s">
        <v>523</v>
      </c>
      <c r="S33" s="1559"/>
      <c r="T33" s="1559"/>
      <c r="U33" s="1560"/>
      <c r="V33" s="393"/>
      <c r="W33" s="360"/>
      <c r="X33" s="360"/>
      <c r="Y33" s="360"/>
      <c r="Z33" s="360"/>
      <c r="AA33" s="392"/>
      <c r="AB33" s="264"/>
      <c r="AC33" s="406"/>
      <c r="AD33" s="406"/>
      <c r="AE33" s="406"/>
      <c r="AF33" s="406"/>
      <c r="AG33" s="393"/>
      <c r="AH33" s="361"/>
      <c r="AI33" s="360"/>
      <c r="AJ33" s="360"/>
      <c r="AK33" s="250"/>
      <c r="AL33" s="250"/>
      <c r="AM33" s="250"/>
      <c r="AN33" s="250"/>
      <c r="AO33" s="250"/>
      <c r="AP33" s="250"/>
      <c r="AQ33" s="250"/>
      <c r="AR33" s="250"/>
    </row>
    <row r="34" spans="2:44" ht="21.75" customHeight="1" thickBot="1">
      <c r="B34" s="292"/>
      <c r="C34" s="293"/>
      <c r="D34" s="66" t="s">
        <v>804</v>
      </c>
      <c r="E34" s="65">
        <f>N12</f>
        <v>1542.26</v>
      </c>
      <c r="F34" s="255"/>
      <c r="G34" s="392"/>
      <c r="H34" s="1561"/>
      <c r="I34" s="1562"/>
      <c r="J34" s="1562"/>
      <c r="K34" s="1562"/>
      <c r="L34" s="1562"/>
      <c r="M34" s="1562"/>
      <c r="N34" s="1563"/>
      <c r="O34" s="393"/>
      <c r="P34" s="361"/>
      <c r="Q34" s="392"/>
      <c r="R34" s="1561"/>
      <c r="S34" s="1562"/>
      <c r="T34" s="1562"/>
      <c r="U34" s="1563"/>
      <c r="V34" s="393"/>
      <c r="W34" s="360"/>
      <c r="X34" s="360"/>
      <c r="Y34" s="360"/>
      <c r="Z34" s="360"/>
      <c r="AA34" s="392"/>
      <c r="AB34" s="406"/>
      <c r="AC34" s="406"/>
      <c r="AD34" s="406"/>
      <c r="AE34" s="406"/>
      <c r="AF34" s="406"/>
      <c r="AG34" s="393"/>
      <c r="AH34" s="361"/>
      <c r="AI34" s="360"/>
      <c r="AJ34" s="360"/>
      <c r="AK34" s="250"/>
      <c r="AL34" s="250"/>
      <c r="AM34" s="250"/>
      <c r="AN34" s="250"/>
      <c r="AO34" s="250"/>
      <c r="AP34" s="250"/>
      <c r="AQ34" s="250"/>
      <c r="AR34" s="250"/>
    </row>
    <row r="35" spans="2:44" ht="21.75" customHeight="1" thickBot="1">
      <c r="B35" s="292"/>
      <c r="C35" s="293"/>
      <c r="D35" s="66" t="s">
        <v>805</v>
      </c>
      <c r="E35" s="65">
        <f>N13</f>
        <v>1657.2</v>
      </c>
      <c r="F35" s="255"/>
      <c r="G35" s="394"/>
      <c r="H35" s="395"/>
      <c r="I35" s="396"/>
      <c r="J35" s="397"/>
      <c r="K35" s="397"/>
      <c r="L35" s="398"/>
      <c r="M35" s="399"/>
      <c r="N35" s="399"/>
      <c r="O35" s="400"/>
      <c r="P35" s="759"/>
      <c r="Q35" s="394"/>
      <c r="R35" s="395"/>
      <c r="S35" s="397"/>
      <c r="T35" s="398"/>
      <c r="U35" s="399"/>
      <c r="V35" s="400"/>
      <c r="W35" s="360"/>
      <c r="X35" s="360"/>
      <c r="Y35" s="360"/>
      <c r="Z35" s="360"/>
      <c r="AA35" s="394"/>
      <c r="AB35" s="395"/>
      <c r="AC35" s="396"/>
      <c r="AD35" s="397"/>
      <c r="AE35" s="397"/>
      <c r="AF35" s="399"/>
      <c r="AG35" s="400"/>
      <c r="AH35" s="361"/>
      <c r="AI35" s="360"/>
      <c r="AJ35" s="360"/>
      <c r="AK35" s="250"/>
      <c r="AL35" s="250"/>
      <c r="AM35" s="250"/>
      <c r="AN35" s="250"/>
      <c r="AO35" s="250"/>
      <c r="AP35" s="250"/>
      <c r="AQ35" s="250"/>
      <c r="AR35" s="250"/>
    </row>
    <row r="36" spans="2:44" ht="21.75" customHeight="1">
      <c r="B36" s="292"/>
      <c r="C36" s="293"/>
      <c r="D36" s="66" t="s">
        <v>806</v>
      </c>
      <c r="E36" s="65">
        <f>N14</f>
        <v>1780.91</v>
      </c>
      <c r="F36" s="255"/>
      <c r="G36" s="255"/>
      <c r="H36" s="264"/>
      <c r="I36" s="369"/>
      <c r="J36" s="250"/>
      <c r="K36" s="250"/>
      <c r="L36" s="360"/>
      <c r="M36" s="360"/>
      <c r="N36" s="360"/>
      <c r="O36" s="361"/>
      <c r="P36" s="361"/>
      <c r="Q36" s="255"/>
      <c r="R36" s="264"/>
      <c r="S36" s="250"/>
      <c r="T36" s="360"/>
      <c r="U36" s="360"/>
      <c r="V36" s="361"/>
      <c r="W36" s="250"/>
      <c r="X36" s="250"/>
      <c r="Y36" s="250"/>
      <c r="Z36" s="250"/>
      <c r="AA36" s="255"/>
      <c r="AB36" s="264"/>
      <c r="AC36" s="369"/>
      <c r="AD36" s="250"/>
      <c r="AE36" s="250"/>
      <c r="AF36" s="360"/>
      <c r="AG36" s="361"/>
      <c r="AH36" s="250"/>
      <c r="AI36" s="360"/>
      <c r="AJ36" s="360"/>
      <c r="AK36" s="250"/>
      <c r="AL36" s="250"/>
      <c r="AM36" s="250"/>
      <c r="AN36" s="250"/>
      <c r="AO36" s="250"/>
      <c r="AP36" s="250"/>
      <c r="AQ36" s="250"/>
      <c r="AR36" s="250"/>
    </row>
    <row r="37" spans="2:44" ht="21.75" customHeight="1">
      <c r="B37" s="259"/>
      <c r="C37" s="255"/>
      <c r="D37" s="66" t="s">
        <v>807</v>
      </c>
      <c r="E37" s="65">
        <f>N16</f>
        <v>1913.84</v>
      </c>
      <c r="F37" s="255"/>
      <c r="G37" s="255"/>
      <c r="H37" s="264"/>
      <c r="I37" s="369"/>
      <c r="J37" s="250"/>
      <c r="K37" s="250"/>
      <c r="L37" s="360"/>
      <c r="M37" s="360"/>
      <c r="N37" s="360"/>
      <c r="O37" s="361"/>
      <c r="P37" s="361"/>
      <c r="Q37" s="255"/>
      <c r="R37" s="264"/>
      <c r="S37" s="250"/>
      <c r="T37" s="360"/>
      <c r="U37" s="360"/>
      <c r="V37" s="361"/>
      <c r="W37" s="250"/>
      <c r="X37" s="250"/>
      <c r="Y37" s="250"/>
      <c r="Z37" s="250"/>
      <c r="AA37" s="255"/>
      <c r="AB37" s="264"/>
      <c r="AC37" s="369"/>
      <c r="AD37" s="250"/>
      <c r="AE37" s="250"/>
      <c r="AF37" s="360"/>
      <c r="AG37" s="361"/>
      <c r="AH37" s="250"/>
      <c r="AI37" s="360"/>
      <c r="AJ37" s="360"/>
      <c r="AK37" s="250"/>
      <c r="AL37" s="250"/>
      <c r="AM37" s="250"/>
      <c r="AN37" s="250"/>
      <c r="AO37" s="250"/>
      <c r="AP37" s="250"/>
      <c r="AQ37" s="250"/>
      <c r="AR37" s="250"/>
    </row>
    <row r="38" spans="2:44" ht="21.75" customHeight="1">
      <c r="B38" s="259"/>
      <c r="C38" s="255"/>
      <c r="D38" s="66" t="s">
        <v>808</v>
      </c>
      <c r="E38" s="65">
        <f>N18</f>
        <v>2056.53</v>
      </c>
      <c r="F38" s="255"/>
      <c r="G38" s="255"/>
      <c r="H38" s="264"/>
      <c r="I38" s="369"/>
      <c r="J38" s="250"/>
      <c r="K38" s="250"/>
      <c r="L38" s="360"/>
      <c r="M38" s="360"/>
      <c r="N38" s="360"/>
      <c r="O38" s="361"/>
      <c r="P38" s="361"/>
      <c r="Q38" s="255"/>
      <c r="R38" s="264"/>
      <c r="S38" s="250"/>
      <c r="T38" s="360"/>
      <c r="U38" s="360"/>
      <c r="V38" s="361"/>
      <c r="W38" s="250"/>
      <c r="X38" s="250"/>
      <c r="Y38" s="250"/>
      <c r="Z38" s="250"/>
      <c r="AA38" s="255"/>
      <c r="AB38" s="264"/>
      <c r="AC38" s="369"/>
      <c r="AD38" s="250"/>
      <c r="AE38" s="250"/>
      <c r="AF38" s="360"/>
      <c r="AG38" s="361"/>
      <c r="AH38" s="250"/>
      <c r="AI38" s="360"/>
      <c r="AJ38" s="360"/>
      <c r="AK38" s="250"/>
      <c r="AL38" s="250"/>
      <c r="AM38" s="250"/>
      <c r="AN38" s="250"/>
      <c r="AO38" s="250"/>
      <c r="AP38" s="250"/>
      <c r="AQ38" s="250"/>
      <c r="AR38" s="250"/>
    </row>
    <row r="39" spans="2:44" ht="21.75" customHeight="1">
      <c r="B39" s="259"/>
      <c r="C39" s="255"/>
      <c r="D39" s="66" t="s">
        <v>809</v>
      </c>
      <c r="E39" s="65">
        <f>N20</f>
        <v>2209.84</v>
      </c>
      <c r="F39" s="255"/>
      <c r="G39" s="255"/>
      <c r="H39" s="264"/>
      <c r="I39" s="369"/>
      <c r="J39" s="250"/>
      <c r="K39" s="250"/>
      <c r="L39" s="250"/>
      <c r="M39" s="250"/>
      <c r="Q39" s="255"/>
      <c r="R39" s="264"/>
      <c r="S39" s="250"/>
      <c r="T39" s="250"/>
      <c r="W39" s="250"/>
      <c r="X39" s="250"/>
      <c r="Y39" s="250"/>
      <c r="Z39" s="250"/>
      <c r="AA39" s="255"/>
      <c r="AB39" s="264"/>
      <c r="AC39" s="369"/>
      <c r="AD39" s="250"/>
      <c r="AE39" s="250"/>
      <c r="AF39" s="250"/>
      <c r="AG39" s="250"/>
      <c r="AH39" s="250"/>
      <c r="AI39" s="360"/>
      <c r="AJ39" s="360"/>
      <c r="AK39" s="250"/>
      <c r="AL39" s="250"/>
      <c r="AM39" s="250"/>
      <c r="AN39" s="250"/>
      <c r="AO39" s="250"/>
      <c r="AP39" s="250"/>
      <c r="AQ39" s="250"/>
      <c r="AR39" s="250"/>
    </row>
    <row r="40" spans="2:44" ht="21.75" customHeight="1">
      <c r="B40" s="259"/>
      <c r="C40" s="255"/>
      <c r="D40" s="66" t="s">
        <v>705</v>
      </c>
      <c r="E40" s="65">
        <f aca="true" t="shared" si="3" ref="E40:E45">N22</f>
        <v>2374.67</v>
      </c>
      <c r="F40" s="255"/>
      <c r="G40" s="255"/>
      <c r="H40" s="264"/>
      <c r="I40" s="369"/>
      <c r="J40" s="250"/>
      <c r="K40" s="250"/>
      <c r="L40" s="360"/>
      <c r="M40" s="360"/>
      <c r="N40" s="360"/>
      <c r="O40" s="250"/>
      <c r="P40" s="250"/>
      <c r="Q40" s="255"/>
      <c r="R40" s="264"/>
      <c r="S40" s="250"/>
      <c r="T40" s="360"/>
      <c r="U40" s="360"/>
      <c r="V40" s="250"/>
      <c r="W40" s="250"/>
      <c r="X40" s="250"/>
      <c r="Y40" s="250"/>
      <c r="Z40" s="250"/>
      <c r="AA40" s="255"/>
      <c r="AB40" s="264"/>
      <c r="AC40" s="369"/>
      <c r="AD40" s="250"/>
      <c r="AE40" s="250"/>
      <c r="AF40" s="360"/>
      <c r="AG40" s="250"/>
      <c r="AH40" s="250"/>
      <c r="AI40" s="360"/>
      <c r="AJ40" s="360"/>
      <c r="AK40" s="250"/>
      <c r="AL40" s="250"/>
      <c r="AM40" s="250"/>
      <c r="AN40" s="250"/>
      <c r="AO40" s="250"/>
      <c r="AP40" s="250"/>
      <c r="AQ40" s="250"/>
      <c r="AR40" s="250"/>
    </row>
    <row r="41" spans="2:44" ht="21.75" customHeight="1">
      <c r="B41" s="259"/>
      <c r="C41" s="255"/>
      <c r="D41" s="66" t="s">
        <v>706</v>
      </c>
      <c r="E41" s="65">
        <f t="shared" si="3"/>
        <v>2551.83</v>
      </c>
      <c r="F41" s="255"/>
      <c r="G41" s="255"/>
      <c r="H41" s="264"/>
      <c r="I41" s="369"/>
      <c r="J41" s="250"/>
      <c r="K41" s="250"/>
      <c r="L41" s="360"/>
      <c r="M41" s="360"/>
      <c r="N41" s="360"/>
      <c r="O41" s="250"/>
      <c r="P41" s="250"/>
      <c r="Q41" s="255"/>
      <c r="R41" s="264"/>
      <c r="S41" s="250"/>
      <c r="T41" s="360"/>
      <c r="U41" s="360"/>
      <c r="V41" s="250"/>
      <c r="W41" s="250"/>
      <c r="X41" s="250"/>
      <c r="Y41" s="250"/>
      <c r="Z41" s="250"/>
      <c r="AA41" s="255"/>
      <c r="AB41" s="264"/>
      <c r="AC41" s="369"/>
      <c r="AD41" s="250"/>
      <c r="AE41" s="250"/>
      <c r="AF41" s="360"/>
      <c r="AG41" s="250"/>
      <c r="AH41" s="250"/>
      <c r="AI41" s="360"/>
      <c r="AJ41" s="360"/>
      <c r="AK41" s="250"/>
      <c r="AL41" s="250"/>
      <c r="AM41" s="250"/>
      <c r="AN41" s="250"/>
      <c r="AO41" s="250"/>
      <c r="AP41" s="250"/>
      <c r="AQ41" s="250"/>
      <c r="AR41" s="250"/>
    </row>
    <row r="42" spans="2:44" ht="21.75" customHeight="1">
      <c r="B42" s="259"/>
      <c r="C42" s="255"/>
      <c r="D42" s="66" t="s">
        <v>707</v>
      </c>
      <c r="E42" s="65">
        <f t="shared" si="3"/>
        <v>2742.36</v>
      </c>
      <c r="F42" s="255"/>
      <c r="G42" s="255"/>
      <c r="L42" s="360"/>
      <c r="M42" s="360"/>
      <c r="N42" s="360"/>
      <c r="O42" s="250"/>
      <c r="P42" s="250"/>
      <c r="Q42" s="255"/>
      <c r="T42" s="360"/>
      <c r="U42" s="360"/>
      <c r="V42" s="250"/>
      <c r="W42" s="250"/>
      <c r="X42" s="250"/>
      <c r="Y42" s="250"/>
      <c r="Z42" s="250"/>
      <c r="AA42" s="255"/>
      <c r="AB42" s="264"/>
      <c r="AC42" s="369"/>
      <c r="AD42" s="250"/>
      <c r="AE42" s="250"/>
      <c r="AF42" s="360"/>
      <c r="AG42" s="250"/>
      <c r="AH42" s="250"/>
      <c r="AI42" s="360"/>
      <c r="AJ42" s="360"/>
      <c r="AK42" s="250"/>
      <c r="AL42" s="250"/>
      <c r="AM42" s="250"/>
      <c r="AN42" s="250"/>
      <c r="AO42" s="250"/>
      <c r="AP42" s="250"/>
      <c r="AQ42" s="250"/>
      <c r="AR42" s="250"/>
    </row>
    <row r="43" spans="2:44" ht="21.75" customHeight="1">
      <c r="B43" s="259"/>
      <c r="C43" s="255"/>
      <c r="D43" s="66" t="s">
        <v>92</v>
      </c>
      <c r="E43" s="65">
        <f t="shared" si="3"/>
        <v>2946.71</v>
      </c>
      <c r="F43" s="255"/>
      <c r="G43" s="255"/>
      <c r="L43" s="360"/>
      <c r="M43" s="360"/>
      <c r="N43" s="360"/>
      <c r="O43" s="250"/>
      <c r="P43" s="250"/>
      <c r="Q43" s="255"/>
      <c r="T43" s="360"/>
      <c r="U43" s="360"/>
      <c r="V43" s="250"/>
      <c r="W43" s="250"/>
      <c r="X43" s="250"/>
      <c r="Y43" s="250"/>
      <c r="Z43" s="250"/>
      <c r="AA43" s="255"/>
      <c r="AB43" s="264"/>
      <c r="AC43" s="369"/>
      <c r="AD43" s="250"/>
      <c r="AE43" s="250"/>
      <c r="AF43" s="360"/>
      <c r="AG43" s="250"/>
      <c r="AH43" s="250"/>
      <c r="AI43" s="360"/>
      <c r="AJ43" s="360"/>
      <c r="AK43" s="250"/>
      <c r="AL43" s="250"/>
      <c r="AM43" s="250"/>
      <c r="AN43" s="250"/>
      <c r="AO43" s="250"/>
      <c r="AP43" s="250"/>
      <c r="AQ43" s="250"/>
      <c r="AR43" s="250"/>
    </row>
    <row r="44" spans="2:44" ht="21.75" customHeight="1">
      <c r="B44" s="259"/>
      <c r="C44" s="255"/>
      <c r="D44" s="66" t="s">
        <v>93</v>
      </c>
      <c r="E44" s="65">
        <f t="shared" si="3"/>
        <v>3166.4</v>
      </c>
      <c r="F44" s="255"/>
      <c r="G44" s="255"/>
      <c r="L44" s="363"/>
      <c r="M44" s="363"/>
      <c r="N44" s="363"/>
      <c r="O44" s="404"/>
      <c r="P44" s="250"/>
      <c r="Q44" s="255"/>
      <c r="T44" s="363"/>
      <c r="U44" s="363"/>
      <c r="V44" s="404"/>
      <c r="W44" s="250"/>
      <c r="X44" s="250"/>
      <c r="Y44" s="250"/>
      <c r="Z44" s="250"/>
      <c r="AA44" s="255"/>
      <c r="AB44" s="264"/>
      <c r="AC44" s="369"/>
      <c r="AD44" s="250"/>
      <c r="AE44" s="250"/>
      <c r="AF44" s="360"/>
      <c r="AG44" s="250"/>
      <c r="AH44" s="250"/>
      <c r="AI44" s="360"/>
      <c r="AJ44" s="360"/>
      <c r="AK44" s="250"/>
      <c r="AL44" s="250"/>
      <c r="AM44" s="250"/>
      <c r="AN44" s="250"/>
      <c r="AO44" s="250"/>
      <c r="AP44" s="250"/>
      <c r="AQ44" s="250"/>
      <c r="AR44" s="250"/>
    </row>
    <row r="45" spans="2:44" ht="21.75" customHeight="1">
      <c r="B45" s="259"/>
      <c r="C45" s="255"/>
      <c r="D45" s="66" t="s">
        <v>94</v>
      </c>
      <c r="E45" s="65">
        <f t="shared" si="3"/>
        <v>3402.49</v>
      </c>
      <c r="F45" s="255"/>
      <c r="G45" s="255"/>
      <c r="L45" s="360"/>
      <c r="M45" s="360"/>
      <c r="N45" s="360"/>
      <c r="O45" s="250"/>
      <c r="P45" s="250"/>
      <c r="Q45" s="255"/>
      <c r="T45" s="360"/>
      <c r="U45" s="360"/>
      <c r="V45" s="250"/>
      <c r="W45" s="250"/>
      <c r="X45" s="250"/>
      <c r="Y45" s="250"/>
      <c r="Z45" s="250"/>
      <c r="AA45" s="255"/>
      <c r="AB45" s="264"/>
      <c r="AC45" s="369"/>
      <c r="AD45" s="250"/>
      <c r="AE45" s="250"/>
      <c r="AF45" s="360"/>
      <c r="AG45" s="250"/>
      <c r="AH45" s="250"/>
      <c r="AI45" s="250"/>
      <c r="AJ45" s="360"/>
      <c r="AK45" s="250"/>
      <c r="AL45" s="250"/>
      <c r="AM45" s="250"/>
      <c r="AN45" s="250"/>
      <c r="AO45" s="250"/>
      <c r="AP45" s="250"/>
      <c r="AQ45" s="250"/>
      <c r="AR45" s="250"/>
    </row>
    <row r="46" spans="2:44" ht="21.75" customHeight="1">
      <c r="B46" s="259"/>
      <c r="C46" s="255"/>
      <c r="D46" s="66" t="s">
        <v>95</v>
      </c>
      <c r="E46" s="65">
        <f>N29</f>
        <v>3656.84</v>
      </c>
      <c r="F46" s="255"/>
      <c r="G46" s="255"/>
      <c r="L46" s="360"/>
      <c r="M46" s="360"/>
      <c r="N46" s="360"/>
      <c r="O46" s="250"/>
      <c r="P46" s="250"/>
      <c r="Q46" s="255"/>
      <c r="T46" s="360"/>
      <c r="U46" s="360"/>
      <c r="V46" s="250"/>
      <c r="W46" s="364"/>
      <c r="X46" s="364"/>
      <c r="Y46" s="364"/>
      <c r="Z46" s="364"/>
      <c r="AA46" s="255"/>
      <c r="AB46" s="264"/>
      <c r="AC46" s="369"/>
      <c r="AD46" s="250"/>
      <c r="AE46" s="250"/>
      <c r="AF46" s="360"/>
      <c r="AG46" s="250"/>
      <c r="AH46" s="361"/>
      <c r="AI46" s="360"/>
      <c r="AJ46" s="360"/>
      <c r="AK46" s="250"/>
      <c r="AL46" s="250"/>
      <c r="AM46" s="250"/>
      <c r="AN46" s="250"/>
      <c r="AO46" s="250"/>
      <c r="AP46" s="250"/>
      <c r="AQ46" s="250"/>
      <c r="AR46" s="250"/>
    </row>
    <row r="47" spans="2:44" ht="21.75" customHeight="1">
      <c r="B47" s="259"/>
      <c r="C47" s="255"/>
      <c r="D47" s="66" t="s">
        <v>727</v>
      </c>
      <c r="E47" s="65">
        <f>N30</f>
        <v>3929.27</v>
      </c>
      <c r="F47" s="255"/>
      <c r="G47" s="255"/>
      <c r="L47" s="360"/>
      <c r="M47" s="360"/>
      <c r="N47" s="360"/>
      <c r="O47" s="250"/>
      <c r="P47" s="250"/>
      <c r="Q47" s="255"/>
      <c r="T47" s="360"/>
      <c r="U47" s="360"/>
      <c r="V47" s="250"/>
      <c r="W47" s="364"/>
      <c r="X47" s="364"/>
      <c r="Y47" s="364"/>
      <c r="Z47" s="364"/>
      <c r="AA47" s="255"/>
      <c r="AB47" s="264"/>
      <c r="AC47" s="369"/>
      <c r="AD47" s="250"/>
      <c r="AE47" s="250"/>
      <c r="AF47" s="360"/>
      <c r="AG47" s="250"/>
      <c r="AH47" s="361"/>
      <c r="AI47" s="360"/>
      <c r="AJ47" s="360"/>
      <c r="AK47" s="250"/>
      <c r="AL47" s="250"/>
      <c r="AM47" s="250"/>
      <c r="AN47" s="250"/>
      <c r="AO47" s="250"/>
      <c r="AP47" s="250"/>
      <c r="AQ47" s="250"/>
      <c r="AR47" s="250"/>
    </row>
    <row r="48" spans="2:44" ht="21.75" customHeight="1">
      <c r="B48" s="259"/>
      <c r="C48" s="255"/>
      <c r="D48" s="66" t="s">
        <v>728</v>
      </c>
      <c r="E48" s="140">
        <f>N31</f>
        <v>4222.41</v>
      </c>
      <c r="F48" s="255"/>
      <c r="G48" s="255"/>
      <c r="L48" s="360"/>
      <c r="M48" s="360"/>
      <c r="N48" s="360"/>
      <c r="O48" s="250"/>
      <c r="P48" s="250"/>
      <c r="Q48" s="255"/>
      <c r="T48" s="360"/>
      <c r="U48" s="360"/>
      <c r="V48" s="250"/>
      <c r="W48" s="364"/>
      <c r="X48" s="364"/>
      <c r="Y48" s="364"/>
      <c r="Z48" s="364"/>
      <c r="AA48" s="255"/>
      <c r="AB48" s="264"/>
      <c r="AC48" s="369"/>
      <c r="AD48" s="250"/>
      <c r="AE48" s="250"/>
      <c r="AF48" s="360"/>
      <c r="AG48" s="250"/>
      <c r="AH48" s="361"/>
      <c r="AI48" s="360"/>
      <c r="AJ48" s="360"/>
      <c r="AK48" s="250"/>
      <c r="AL48" s="250"/>
      <c r="AM48" s="250"/>
      <c r="AN48" s="250"/>
      <c r="AO48" s="250"/>
      <c r="AP48" s="250"/>
      <c r="AQ48" s="250"/>
      <c r="AR48" s="250"/>
    </row>
    <row r="49" spans="2:44" ht="21.75" customHeight="1">
      <c r="B49" s="259"/>
      <c r="C49" s="255"/>
      <c r="D49" s="66" t="s">
        <v>115</v>
      </c>
      <c r="E49" s="764">
        <f>T10</f>
        <v>1342.9</v>
      </c>
      <c r="F49" s="255"/>
      <c r="G49" s="255"/>
      <c r="L49" s="360"/>
      <c r="M49" s="360"/>
      <c r="N49" s="360"/>
      <c r="O49" s="250"/>
      <c r="P49" s="250"/>
      <c r="Q49" s="255"/>
      <c r="T49" s="360"/>
      <c r="U49" s="360"/>
      <c r="V49" s="250"/>
      <c r="W49" s="250"/>
      <c r="X49" s="250"/>
      <c r="Y49" s="250"/>
      <c r="Z49" s="250"/>
      <c r="AA49" s="255"/>
      <c r="AB49" s="264"/>
      <c r="AC49" s="369"/>
      <c r="AD49" s="250"/>
      <c r="AE49" s="250"/>
      <c r="AF49" s="360"/>
      <c r="AG49" s="250"/>
      <c r="AH49" s="250"/>
      <c r="AI49" s="250"/>
      <c r="AJ49" s="360"/>
      <c r="AK49" s="250"/>
      <c r="AL49" s="250"/>
      <c r="AM49" s="250"/>
      <c r="AN49" s="250"/>
      <c r="AO49" s="250"/>
      <c r="AP49" s="250"/>
      <c r="AQ49" s="250"/>
      <c r="AR49" s="250"/>
    </row>
    <row r="50" spans="2:44" ht="21.75" customHeight="1">
      <c r="B50" s="259"/>
      <c r="C50" s="255"/>
      <c r="D50" s="66" t="s">
        <v>116</v>
      </c>
      <c r="E50" s="764">
        <f aca="true" t="shared" si="4" ref="E50:E58">T11</f>
        <v>1443.2</v>
      </c>
      <c r="F50" s="255"/>
      <c r="G50" s="255"/>
      <c r="H50" s="264"/>
      <c r="I50" s="369"/>
      <c r="J50" s="250"/>
      <c r="K50" s="250"/>
      <c r="L50" s="360"/>
      <c r="M50" s="360"/>
      <c r="N50" s="360"/>
      <c r="O50" s="361"/>
      <c r="P50" s="361"/>
      <c r="Q50" s="255"/>
      <c r="R50" s="264"/>
      <c r="S50" s="250"/>
      <c r="T50" s="360"/>
      <c r="U50" s="360"/>
      <c r="V50" s="361"/>
      <c r="W50" s="250"/>
      <c r="X50" s="250"/>
      <c r="Y50" s="250"/>
      <c r="Z50" s="250"/>
      <c r="AA50" s="255"/>
      <c r="AB50" s="264"/>
      <c r="AC50" s="369"/>
      <c r="AD50" s="250"/>
      <c r="AE50" s="250"/>
      <c r="AF50" s="360"/>
      <c r="AG50" s="361"/>
      <c r="AH50" s="250"/>
      <c r="AI50" s="250"/>
      <c r="AJ50" s="360"/>
      <c r="AK50" s="250"/>
      <c r="AL50" s="250"/>
      <c r="AM50" s="250"/>
      <c r="AN50" s="250"/>
      <c r="AO50" s="250"/>
      <c r="AP50" s="250"/>
      <c r="AQ50" s="250"/>
      <c r="AR50" s="250"/>
    </row>
    <row r="51" spans="2:44" ht="21.75" customHeight="1">
      <c r="B51" s="259"/>
      <c r="C51" s="255"/>
      <c r="D51" s="66" t="s">
        <v>117</v>
      </c>
      <c r="E51" s="764">
        <f t="shared" si="4"/>
        <v>1550.7</v>
      </c>
      <c r="F51" s="255"/>
      <c r="G51" s="255"/>
      <c r="H51" s="264"/>
      <c r="I51" s="369"/>
      <c r="J51" s="250"/>
      <c r="K51" s="250"/>
      <c r="L51" s="360"/>
      <c r="M51" s="360"/>
      <c r="N51" s="360"/>
      <c r="O51" s="361"/>
      <c r="P51" s="361"/>
      <c r="Q51" s="255"/>
      <c r="R51" s="264"/>
      <c r="S51" s="250"/>
      <c r="T51" s="360"/>
      <c r="U51" s="360"/>
      <c r="V51" s="361"/>
      <c r="W51" s="250"/>
      <c r="X51" s="250"/>
      <c r="Y51" s="250"/>
      <c r="Z51" s="250"/>
      <c r="AA51" s="255"/>
      <c r="AB51" s="264"/>
      <c r="AC51" s="369"/>
      <c r="AD51" s="250"/>
      <c r="AE51" s="250"/>
      <c r="AF51" s="360"/>
      <c r="AG51" s="361"/>
      <c r="AH51" s="250"/>
      <c r="AI51" s="250"/>
      <c r="AJ51" s="360"/>
      <c r="AK51" s="250"/>
      <c r="AL51" s="250"/>
      <c r="AM51" s="250"/>
      <c r="AN51" s="250"/>
      <c r="AO51" s="250"/>
      <c r="AP51" s="250"/>
      <c r="AQ51" s="250"/>
      <c r="AR51" s="250"/>
    </row>
    <row r="52" spans="2:44" ht="12.75">
      <c r="B52" s="259"/>
      <c r="C52" s="255"/>
      <c r="D52" s="66" t="s">
        <v>118</v>
      </c>
      <c r="E52" s="764">
        <f t="shared" si="4"/>
        <v>1666.5</v>
      </c>
      <c r="F52" s="255"/>
      <c r="G52" s="255"/>
      <c r="H52" s="264"/>
      <c r="I52" s="371"/>
      <c r="J52" s="360"/>
      <c r="K52" s="360"/>
      <c r="L52" s="360"/>
      <c r="M52" s="360"/>
      <c r="N52" s="360"/>
      <c r="O52" s="361"/>
      <c r="P52" s="361"/>
      <c r="Q52" s="255"/>
      <c r="R52" s="264"/>
      <c r="S52" s="360"/>
      <c r="T52" s="360"/>
      <c r="U52" s="360"/>
      <c r="V52" s="361"/>
      <c r="W52" s="360"/>
      <c r="X52" s="360"/>
      <c r="Y52" s="360"/>
      <c r="Z52" s="360"/>
      <c r="AA52" s="255"/>
      <c r="AB52" s="264"/>
      <c r="AC52" s="371"/>
      <c r="AD52" s="360"/>
      <c r="AE52" s="360"/>
      <c r="AF52" s="360"/>
      <c r="AG52" s="361"/>
      <c r="AH52" s="361"/>
      <c r="AI52" s="360"/>
      <c r="AJ52" s="360"/>
      <c r="AK52" s="250"/>
      <c r="AL52" s="250"/>
      <c r="AM52" s="250"/>
      <c r="AN52" s="250"/>
      <c r="AO52" s="250"/>
      <c r="AP52" s="250"/>
      <c r="AQ52" s="250"/>
      <c r="AR52" s="250"/>
    </row>
    <row r="53" spans="2:44" ht="12.75">
      <c r="B53" s="259"/>
      <c r="C53" s="255"/>
      <c r="D53" s="66" t="s">
        <v>119</v>
      </c>
      <c r="E53" s="764">
        <f t="shared" si="4"/>
        <v>1790.6</v>
      </c>
      <c r="F53" s="255"/>
      <c r="G53" s="255"/>
      <c r="H53" s="264"/>
      <c r="I53" s="369"/>
      <c r="J53" s="250"/>
      <c r="K53" s="250"/>
      <c r="L53" s="250"/>
      <c r="M53" s="250"/>
      <c r="N53" s="250"/>
      <c r="O53" s="250"/>
      <c r="P53" s="250"/>
      <c r="Q53" s="255"/>
      <c r="R53" s="264"/>
      <c r="S53" s="250"/>
      <c r="T53" s="250"/>
      <c r="U53" s="250"/>
      <c r="V53" s="250"/>
      <c r="W53" s="250"/>
      <c r="X53" s="250"/>
      <c r="Y53" s="250"/>
      <c r="Z53" s="250"/>
      <c r="AA53" s="255"/>
      <c r="AB53" s="264"/>
      <c r="AC53" s="369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</row>
    <row r="54" spans="2:44" ht="12.75">
      <c r="B54" s="259"/>
      <c r="C54" s="255"/>
      <c r="D54" s="66" t="s">
        <v>120</v>
      </c>
      <c r="E54" s="764">
        <f t="shared" si="4"/>
        <v>1924.1</v>
      </c>
      <c r="F54" s="255"/>
      <c r="G54" s="255"/>
      <c r="H54" s="264"/>
      <c r="I54" s="369"/>
      <c r="J54" s="250"/>
      <c r="K54" s="250"/>
      <c r="L54" s="250"/>
      <c r="M54" s="250"/>
      <c r="N54" s="250"/>
      <c r="O54" s="250"/>
      <c r="P54" s="250"/>
      <c r="Q54" s="255"/>
      <c r="R54" s="264"/>
      <c r="S54" s="250"/>
      <c r="T54" s="250"/>
      <c r="U54" s="250"/>
      <c r="V54" s="250"/>
      <c r="W54" s="250"/>
      <c r="X54" s="250"/>
      <c r="Y54" s="250"/>
      <c r="Z54" s="250"/>
      <c r="AA54" s="255"/>
      <c r="AB54" s="264"/>
      <c r="AC54" s="369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</row>
    <row r="55" spans="2:44" ht="12.75">
      <c r="B55" s="259"/>
      <c r="C55" s="255"/>
      <c r="D55" s="66" t="s">
        <v>121</v>
      </c>
      <c r="E55" s="764">
        <f t="shared" si="4"/>
        <v>2067.8</v>
      </c>
      <c r="F55" s="255"/>
      <c r="G55" s="255"/>
      <c r="H55" s="264"/>
      <c r="I55" s="369"/>
      <c r="J55" s="250"/>
      <c r="K55" s="250"/>
      <c r="L55" s="250"/>
      <c r="M55" s="250"/>
      <c r="N55" s="250"/>
      <c r="O55" s="250"/>
      <c r="P55" s="250"/>
      <c r="Q55" s="255"/>
      <c r="R55" s="264"/>
      <c r="S55" s="250"/>
      <c r="T55" s="250"/>
      <c r="U55" s="250"/>
      <c r="V55" s="250"/>
      <c r="W55" s="250"/>
      <c r="X55" s="250"/>
      <c r="Y55" s="250"/>
      <c r="Z55" s="250"/>
      <c r="AA55" s="255"/>
      <c r="AB55" s="264"/>
      <c r="AC55" s="369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</row>
    <row r="56" spans="2:44" ht="12.75">
      <c r="B56" s="259"/>
      <c r="C56" s="255"/>
      <c r="D56" s="66" t="s">
        <v>122</v>
      </c>
      <c r="E56" s="764">
        <f t="shared" si="4"/>
        <v>2222</v>
      </c>
      <c r="F56" s="255"/>
      <c r="G56" s="255"/>
      <c r="H56" s="264"/>
      <c r="I56" s="369"/>
      <c r="J56" s="250"/>
      <c r="K56" s="250"/>
      <c r="L56" s="360"/>
      <c r="M56" s="360"/>
      <c r="N56" s="360"/>
      <c r="O56" s="361"/>
      <c r="P56" s="361"/>
      <c r="Q56" s="255"/>
      <c r="R56" s="264"/>
      <c r="S56" s="250"/>
      <c r="T56" s="360"/>
      <c r="U56" s="360"/>
      <c r="V56" s="361"/>
      <c r="AA56" s="255"/>
      <c r="AB56" s="264"/>
      <c r="AC56" s="369"/>
      <c r="AD56" s="250"/>
      <c r="AE56" s="250"/>
      <c r="AF56" s="360"/>
      <c r="AG56" s="361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</row>
    <row r="57" spans="2:44" ht="12.75">
      <c r="B57" s="259"/>
      <c r="C57" s="255"/>
      <c r="D57" s="66" t="s">
        <v>123</v>
      </c>
      <c r="E57" s="764">
        <f t="shared" si="4"/>
        <v>2387.5</v>
      </c>
      <c r="F57" s="255"/>
      <c r="G57" s="255"/>
      <c r="H57" s="264"/>
      <c r="I57" s="369"/>
      <c r="J57" s="250"/>
      <c r="K57" s="250"/>
      <c r="L57" s="250"/>
      <c r="M57" s="250"/>
      <c r="N57" s="250"/>
      <c r="O57" s="250"/>
      <c r="P57" s="250"/>
      <c r="Q57" s="255"/>
      <c r="R57" s="264"/>
      <c r="S57" s="250"/>
      <c r="T57" s="250"/>
      <c r="U57" s="250"/>
      <c r="V57" s="250"/>
      <c r="AA57" s="255"/>
      <c r="AB57" s="264"/>
      <c r="AC57" s="369"/>
      <c r="AD57" s="250"/>
      <c r="AE57" s="250"/>
      <c r="AF57" s="250"/>
      <c r="AG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</row>
    <row r="58" spans="2:44" ht="13.5" thickBot="1">
      <c r="B58" s="259"/>
      <c r="C58" s="255"/>
      <c r="D58" s="67" t="s">
        <v>124</v>
      </c>
      <c r="E58" s="765">
        <f t="shared" si="4"/>
        <v>2565.8</v>
      </c>
      <c r="F58" s="255"/>
      <c r="G58" s="255"/>
      <c r="H58" s="264"/>
      <c r="I58" s="369"/>
      <c r="J58" s="250"/>
      <c r="K58" s="250"/>
      <c r="L58" s="250"/>
      <c r="M58" s="250"/>
      <c r="N58" s="250"/>
      <c r="O58" s="250"/>
      <c r="P58" s="250"/>
      <c r="Q58" s="255"/>
      <c r="R58" s="264"/>
      <c r="S58" s="250"/>
      <c r="T58" s="250"/>
      <c r="U58" s="250"/>
      <c r="V58" s="250"/>
      <c r="AA58" s="255"/>
      <c r="AB58" s="264"/>
      <c r="AC58" s="369"/>
      <c r="AD58" s="250"/>
      <c r="AE58" s="250"/>
      <c r="AF58" s="250"/>
      <c r="AG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</row>
    <row r="59" spans="2:44" ht="12.75">
      <c r="B59" s="259"/>
      <c r="C59" s="255"/>
      <c r="F59" s="255"/>
      <c r="G59" s="255"/>
      <c r="H59" s="264"/>
      <c r="I59" s="369"/>
      <c r="J59" s="250"/>
      <c r="K59" s="250"/>
      <c r="L59" s="250"/>
      <c r="M59" s="250"/>
      <c r="N59" s="250"/>
      <c r="O59" s="250"/>
      <c r="P59" s="250"/>
      <c r="Q59" s="255"/>
      <c r="R59" s="264"/>
      <c r="S59" s="250"/>
      <c r="T59" s="250"/>
      <c r="U59" s="250"/>
      <c r="V59" s="250"/>
      <c r="AA59" s="255"/>
      <c r="AB59" s="264"/>
      <c r="AC59" s="369"/>
      <c r="AD59" s="250"/>
      <c r="AE59" s="250"/>
      <c r="AF59" s="250"/>
      <c r="AG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</row>
    <row r="60" spans="2:44" ht="12.75">
      <c r="B60" s="259"/>
      <c r="C60" s="255"/>
      <c r="F60" s="255"/>
      <c r="G60" s="255"/>
      <c r="H60" s="264"/>
      <c r="I60" s="369"/>
      <c r="J60" s="250"/>
      <c r="K60" s="250"/>
      <c r="L60" s="250"/>
      <c r="M60" s="250"/>
      <c r="N60" s="250"/>
      <c r="O60" s="250"/>
      <c r="P60" s="250"/>
      <c r="Q60" s="255"/>
      <c r="R60" s="264"/>
      <c r="S60" s="250"/>
      <c r="T60" s="250"/>
      <c r="U60" s="250"/>
      <c r="V60" s="250"/>
      <c r="AA60" s="255"/>
      <c r="AB60" s="264"/>
      <c r="AC60" s="369"/>
      <c r="AD60" s="250"/>
      <c r="AE60" s="250"/>
      <c r="AF60" s="250"/>
      <c r="AG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</row>
    <row r="61" spans="2:44" ht="12.75">
      <c r="B61" s="259"/>
      <c r="C61" s="255"/>
      <c r="F61" s="255"/>
      <c r="G61" s="255"/>
      <c r="H61" s="264"/>
      <c r="I61" s="369"/>
      <c r="J61" s="250"/>
      <c r="K61" s="250"/>
      <c r="L61" s="250"/>
      <c r="M61" s="250"/>
      <c r="N61" s="250"/>
      <c r="O61" s="250"/>
      <c r="P61" s="250"/>
      <c r="Q61" s="255"/>
      <c r="R61" s="264"/>
      <c r="S61" s="250"/>
      <c r="T61" s="250"/>
      <c r="U61" s="250"/>
      <c r="V61" s="250"/>
      <c r="AA61" s="255"/>
      <c r="AB61" s="264"/>
      <c r="AC61" s="369"/>
      <c r="AD61" s="250"/>
      <c r="AE61" s="250"/>
      <c r="AF61" s="250"/>
      <c r="AG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</row>
    <row r="62" spans="2:44" ht="12.75">
      <c r="B62" s="259"/>
      <c r="C62" s="255"/>
      <c r="F62" s="255"/>
      <c r="G62" s="255"/>
      <c r="H62" s="264"/>
      <c r="I62" s="369"/>
      <c r="J62" s="250"/>
      <c r="K62" s="250"/>
      <c r="L62" s="250"/>
      <c r="M62" s="250"/>
      <c r="N62" s="250"/>
      <c r="O62" s="250"/>
      <c r="P62" s="250"/>
      <c r="Q62" s="255"/>
      <c r="R62" s="264"/>
      <c r="S62" s="250"/>
      <c r="T62" s="250"/>
      <c r="U62" s="250"/>
      <c r="V62" s="250"/>
      <c r="AA62" s="255"/>
      <c r="AB62" s="264"/>
      <c r="AC62" s="369"/>
      <c r="AD62" s="250"/>
      <c r="AE62" s="250"/>
      <c r="AF62" s="250"/>
      <c r="AG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2:44" ht="12.75">
      <c r="B63" s="259"/>
      <c r="C63" s="255"/>
      <c r="F63" s="255"/>
      <c r="G63" s="255"/>
      <c r="H63" s="264"/>
      <c r="I63" s="369"/>
      <c r="J63" s="250"/>
      <c r="K63" s="250"/>
      <c r="L63" s="250"/>
      <c r="M63" s="250"/>
      <c r="N63" s="250"/>
      <c r="O63" s="250"/>
      <c r="P63" s="250"/>
      <c r="Q63" s="255"/>
      <c r="R63" s="264"/>
      <c r="S63" s="250"/>
      <c r="T63" s="250"/>
      <c r="U63" s="250"/>
      <c r="V63" s="250"/>
      <c r="AA63" s="255"/>
      <c r="AB63" s="264"/>
      <c r="AC63" s="369"/>
      <c r="AD63" s="250"/>
      <c r="AE63" s="250"/>
      <c r="AF63" s="250"/>
      <c r="AG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</row>
    <row r="64" spans="2:44" ht="12.75">
      <c r="B64" s="259"/>
      <c r="C64" s="255"/>
      <c r="F64" s="255"/>
      <c r="G64" s="255"/>
      <c r="H64" s="264"/>
      <c r="I64" s="369"/>
      <c r="J64" s="250"/>
      <c r="K64" s="250"/>
      <c r="L64" s="250"/>
      <c r="M64" s="250"/>
      <c r="N64" s="250"/>
      <c r="O64" s="250"/>
      <c r="P64" s="250"/>
      <c r="Q64" s="255"/>
      <c r="R64" s="264"/>
      <c r="S64" s="250"/>
      <c r="T64" s="250"/>
      <c r="U64" s="250"/>
      <c r="V64" s="250"/>
      <c r="AA64" s="255"/>
      <c r="AB64" s="264"/>
      <c r="AC64" s="369"/>
      <c r="AD64" s="250"/>
      <c r="AE64" s="250"/>
      <c r="AF64" s="250"/>
      <c r="AG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</row>
    <row r="65" spans="2:44" ht="12.75">
      <c r="B65" s="259"/>
      <c r="C65" s="255"/>
      <c r="D65" s="257"/>
      <c r="E65" s="362"/>
      <c r="F65" s="255"/>
      <c r="G65" s="255"/>
      <c r="H65" s="264"/>
      <c r="I65" s="369"/>
      <c r="J65" s="250"/>
      <c r="K65" s="250"/>
      <c r="L65" s="250"/>
      <c r="M65" s="250"/>
      <c r="N65" s="250"/>
      <c r="O65" s="250"/>
      <c r="P65" s="250"/>
      <c r="Q65" s="255"/>
      <c r="R65" s="264"/>
      <c r="S65" s="250"/>
      <c r="T65" s="250"/>
      <c r="U65" s="250"/>
      <c r="V65" s="250"/>
      <c r="AA65" s="255"/>
      <c r="AB65" s="264"/>
      <c r="AC65" s="369"/>
      <c r="AD65" s="250"/>
      <c r="AE65" s="250"/>
      <c r="AF65" s="250"/>
      <c r="AG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</row>
    <row r="66" spans="2:44" ht="12.75">
      <c r="B66" s="259"/>
      <c r="C66" s="255"/>
      <c r="D66" s="257"/>
      <c r="E66" s="362"/>
      <c r="F66" s="255"/>
      <c r="G66" s="255"/>
      <c r="H66" s="264"/>
      <c r="I66" s="369"/>
      <c r="J66" s="250"/>
      <c r="K66" s="250"/>
      <c r="L66" s="250"/>
      <c r="M66" s="250"/>
      <c r="N66" s="250"/>
      <c r="O66" s="250"/>
      <c r="P66" s="250"/>
      <c r="Q66" s="255"/>
      <c r="R66" s="264"/>
      <c r="S66" s="250"/>
      <c r="T66" s="250"/>
      <c r="U66" s="250"/>
      <c r="V66" s="250"/>
      <c r="AA66" s="255"/>
      <c r="AB66" s="264"/>
      <c r="AC66" s="369"/>
      <c r="AD66" s="250"/>
      <c r="AE66" s="250"/>
      <c r="AF66" s="250"/>
      <c r="AG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</row>
    <row r="67" spans="2:44" ht="12.75">
      <c r="B67" s="259"/>
      <c r="C67" s="255"/>
      <c r="D67" s="257"/>
      <c r="E67" s="362"/>
      <c r="F67" s="255"/>
      <c r="G67" s="255"/>
      <c r="H67" s="264"/>
      <c r="I67" s="369"/>
      <c r="J67" s="250"/>
      <c r="K67" s="250"/>
      <c r="L67" s="250"/>
      <c r="M67" s="250"/>
      <c r="N67" s="250"/>
      <c r="O67" s="250"/>
      <c r="P67" s="250"/>
      <c r="Q67" s="255"/>
      <c r="R67" s="264"/>
      <c r="S67" s="250"/>
      <c r="T67" s="250"/>
      <c r="U67" s="250"/>
      <c r="V67" s="250"/>
      <c r="AA67" s="255"/>
      <c r="AB67" s="264"/>
      <c r="AC67" s="369"/>
      <c r="AD67" s="250"/>
      <c r="AE67" s="250"/>
      <c r="AF67" s="250"/>
      <c r="AG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</row>
    <row r="68" spans="2:44" ht="12.75">
      <c r="B68" s="259"/>
      <c r="C68" s="255"/>
      <c r="D68" s="257"/>
      <c r="E68" s="362"/>
      <c r="F68" s="255"/>
      <c r="G68" s="255"/>
      <c r="H68" s="264"/>
      <c r="I68" s="369"/>
      <c r="J68" s="250"/>
      <c r="K68" s="250"/>
      <c r="L68" s="250"/>
      <c r="M68" s="250"/>
      <c r="N68" s="250"/>
      <c r="O68" s="250"/>
      <c r="P68" s="250"/>
      <c r="Q68" s="255"/>
      <c r="R68" s="264"/>
      <c r="S68" s="250"/>
      <c r="T68" s="250"/>
      <c r="U68" s="250"/>
      <c r="V68" s="250"/>
      <c r="AA68" s="255"/>
      <c r="AB68" s="264"/>
      <c r="AC68" s="369"/>
      <c r="AD68" s="250"/>
      <c r="AE68" s="250"/>
      <c r="AF68" s="250"/>
      <c r="AG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</row>
    <row r="69" spans="2:44" ht="12.75">
      <c r="B69" s="259"/>
      <c r="C69" s="255"/>
      <c r="F69" s="255"/>
      <c r="G69" s="255"/>
      <c r="H69" s="264"/>
      <c r="I69" s="369"/>
      <c r="J69" s="250"/>
      <c r="K69" s="250"/>
      <c r="L69" s="250"/>
      <c r="M69" s="250"/>
      <c r="N69" s="250"/>
      <c r="O69" s="250"/>
      <c r="P69" s="250"/>
      <c r="Q69" s="255"/>
      <c r="R69" s="264"/>
      <c r="S69" s="250"/>
      <c r="T69" s="250"/>
      <c r="U69" s="250"/>
      <c r="V69" s="250"/>
      <c r="AA69" s="255"/>
      <c r="AB69" s="264"/>
      <c r="AC69" s="369"/>
      <c r="AD69" s="250"/>
      <c r="AE69" s="250"/>
      <c r="AF69" s="250"/>
      <c r="AG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</row>
    <row r="70" spans="2:44" ht="12.75">
      <c r="B70" s="259"/>
      <c r="C70" s="255"/>
      <c r="F70" s="255"/>
      <c r="G70" s="255"/>
      <c r="H70" s="264"/>
      <c r="I70" s="369"/>
      <c r="J70" s="250"/>
      <c r="K70" s="250"/>
      <c r="L70" s="250"/>
      <c r="M70" s="250"/>
      <c r="N70" s="250"/>
      <c r="O70" s="250"/>
      <c r="P70" s="250"/>
      <c r="Q70" s="255"/>
      <c r="R70" s="264"/>
      <c r="S70" s="250"/>
      <c r="T70" s="250"/>
      <c r="U70" s="250"/>
      <c r="V70" s="250"/>
      <c r="AA70" s="255"/>
      <c r="AB70" s="264"/>
      <c r="AC70" s="369"/>
      <c r="AD70" s="250"/>
      <c r="AE70" s="250"/>
      <c r="AF70" s="250"/>
      <c r="AG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</row>
    <row r="71" spans="2:44" ht="12.75">
      <c r="B71" s="259"/>
      <c r="C71" s="255"/>
      <c r="F71" s="255"/>
      <c r="G71" s="255"/>
      <c r="H71" s="264"/>
      <c r="I71" s="369"/>
      <c r="J71" s="250"/>
      <c r="K71" s="250"/>
      <c r="L71" s="250"/>
      <c r="M71" s="250"/>
      <c r="N71" s="250"/>
      <c r="O71" s="250"/>
      <c r="P71" s="250"/>
      <c r="Q71" s="255"/>
      <c r="R71" s="264"/>
      <c r="S71" s="250"/>
      <c r="T71" s="250"/>
      <c r="U71" s="250"/>
      <c r="V71" s="250"/>
      <c r="AA71" s="255"/>
      <c r="AB71" s="264"/>
      <c r="AC71" s="369"/>
      <c r="AD71" s="250"/>
      <c r="AE71" s="250"/>
      <c r="AF71" s="250"/>
      <c r="AG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</row>
    <row r="72" spans="2:44" ht="12.75">
      <c r="B72" s="259"/>
      <c r="C72" s="255"/>
      <c r="F72" s="255"/>
      <c r="G72" s="255"/>
      <c r="H72" s="264"/>
      <c r="I72" s="369"/>
      <c r="J72" s="250"/>
      <c r="K72" s="250"/>
      <c r="L72" s="250"/>
      <c r="M72" s="250"/>
      <c r="N72" s="250"/>
      <c r="O72" s="250"/>
      <c r="P72" s="250"/>
      <c r="Q72" s="255"/>
      <c r="R72" s="264"/>
      <c r="S72" s="250"/>
      <c r="T72" s="250"/>
      <c r="U72" s="250"/>
      <c r="V72" s="250"/>
      <c r="AA72" s="255"/>
      <c r="AB72" s="264"/>
      <c r="AC72" s="369"/>
      <c r="AD72" s="250"/>
      <c r="AE72" s="250"/>
      <c r="AF72" s="250"/>
      <c r="AG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</row>
    <row r="73" spans="6:44" ht="12.75">
      <c r="F73" s="255"/>
      <c r="G73" s="255"/>
      <c r="H73" s="264"/>
      <c r="I73" s="369"/>
      <c r="J73" s="250"/>
      <c r="K73" s="250"/>
      <c r="L73" s="250"/>
      <c r="M73" s="250"/>
      <c r="N73" s="250"/>
      <c r="O73" s="250"/>
      <c r="P73" s="250"/>
      <c r="Q73" s="255"/>
      <c r="R73" s="264"/>
      <c r="S73" s="250"/>
      <c r="T73" s="250"/>
      <c r="U73" s="250"/>
      <c r="V73" s="250"/>
      <c r="AA73" s="255"/>
      <c r="AB73" s="264"/>
      <c r="AC73" s="369"/>
      <c r="AD73" s="250"/>
      <c r="AE73" s="250"/>
      <c r="AF73" s="250"/>
      <c r="AG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</row>
    <row r="74" spans="2:44" ht="12.75">
      <c r="B74" s="259"/>
      <c r="C74" s="255"/>
      <c r="F74" s="255"/>
      <c r="G74" s="255"/>
      <c r="H74" s="264"/>
      <c r="L74" s="250"/>
      <c r="M74" s="250"/>
      <c r="N74" s="250"/>
      <c r="O74" s="250"/>
      <c r="P74" s="250"/>
      <c r="Q74" s="255"/>
      <c r="R74" s="264"/>
      <c r="T74" s="250"/>
      <c r="U74" s="250"/>
      <c r="V74" s="250"/>
      <c r="AA74" s="255"/>
      <c r="AB74" s="264"/>
      <c r="AF74" s="250"/>
      <c r="AG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</row>
    <row r="75" spans="2:44" ht="12.75">
      <c r="B75" s="259"/>
      <c r="C75" s="255"/>
      <c r="F75" s="255"/>
      <c r="G75" s="255"/>
      <c r="H75" s="264"/>
      <c r="L75" s="250"/>
      <c r="M75" s="250"/>
      <c r="N75" s="250"/>
      <c r="O75" s="250"/>
      <c r="P75" s="250"/>
      <c r="Q75" s="255"/>
      <c r="R75" s="264"/>
      <c r="T75" s="250"/>
      <c r="U75" s="250"/>
      <c r="V75" s="250"/>
      <c r="AA75" s="255"/>
      <c r="AB75" s="264"/>
      <c r="AF75" s="250"/>
      <c r="AG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</row>
    <row r="76" spans="2:44" ht="12.75">
      <c r="B76" s="259"/>
      <c r="C76" s="255"/>
      <c r="F76" s="255"/>
      <c r="G76" s="255"/>
      <c r="H76" s="264"/>
      <c r="L76" s="250"/>
      <c r="M76" s="250"/>
      <c r="N76" s="250"/>
      <c r="O76" s="250"/>
      <c r="P76" s="250"/>
      <c r="Q76" s="255"/>
      <c r="R76" s="264"/>
      <c r="T76" s="250"/>
      <c r="U76" s="250"/>
      <c r="V76" s="250"/>
      <c r="AA76" s="255"/>
      <c r="AB76" s="264"/>
      <c r="AF76" s="250"/>
      <c r="AG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</row>
    <row r="77" spans="2:44" ht="12.75">
      <c r="B77" s="250"/>
      <c r="C77" s="250"/>
      <c r="F77" s="255"/>
      <c r="G77" s="255"/>
      <c r="H77" s="264"/>
      <c r="L77" s="250"/>
      <c r="M77" s="250"/>
      <c r="N77" s="250"/>
      <c r="O77" s="250"/>
      <c r="P77" s="250"/>
      <c r="Q77" s="255"/>
      <c r="R77" s="264"/>
      <c r="T77" s="250"/>
      <c r="U77" s="250"/>
      <c r="V77" s="250"/>
      <c r="AA77" s="255"/>
      <c r="AB77" s="264"/>
      <c r="AF77" s="250"/>
      <c r="AG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</row>
    <row r="78" spans="2:44" ht="12.75">
      <c r="B78" s="250"/>
      <c r="C78" s="250"/>
      <c r="F78" s="255"/>
      <c r="G78" s="255"/>
      <c r="H78" s="264"/>
      <c r="Q78" s="255"/>
      <c r="R78" s="264"/>
      <c r="AA78" s="255"/>
      <c r="AB78" s="264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</row>
    <row r="79" spans="6:44" ht="12.75">
      <c r="F79" s="255"/>
      <c r="G79" s="255"/>
      <c r="H79" s="264"/>
      <c r="Q79" s="255"/>
      <c r="R79" s="264"/>
      <c r="AA79" s="255"/>
      <c r="AB79" s="264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</row>
    <row r="80" spans="6:44" ht="12.75">
      <c r="F80" s="255"/>
      <c r="G80" s="255"/>
      <c r="H80" s="264"/>
      <c r="Q80" s="255"/>
      <c r="R80" s="264"/>
      <c r="AA80" s="255"/>
      <c r="AB80" s="264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</row>
    <row r="81" spans="6:44" ht="12.75">
      <c r="F81" s="255"/>
      <c r="G81" s="255"/>
      <c r="H81" s="264"/>
      <c r="Q81" s="255"/>
      <c r="R81" s="264"/>
      <c r="AA81" s="255"/>
      <c r="AB81" s="264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</row>
    <row r="82" spans="6:44" ht="12.75">
      <c r="F82" s="255"/>
      <c r="G82" s="255"/>
      <c r="H82" s="264"/>
      <c r="Q82" s="255"/>
      <c r="R82" s="264"/>
      <c r="AA82" s="255"/>
      <c r="AB82" s="264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</row>
    <row r="83" spans="6:44" ht="12.75">
      <c r="F83" s="255"/>
      <c r="G83" s="255"/>
      <c r="H83" s="264"/>
      <c r="Q83" s="255"/>
      <c r="R83" s="264"/>
      <c r="AA83" s="255"/>
      <c r="AB83" s="264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</row>
    <row r="84" spans="6:44" ht="12.75">
      <c r="F84" s="255"/>
      <c r="G84" s="255"/>
      <c r="H84" s="264"/>
      <c r="Q84" s="255"/>
      <c r="R84" s="264"/>
      <c r="AA84" s="255"/>
      <c r="AB84" s="264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</row>
    <row r="85" spans="2:44" ht="12.75">
      <c r="B85" s="247"/>
      <c r="C85" s="247"/>
      <c r="F85" s="255"/>
      <c r="G85" s="255"/>
      <c r="H85" s="264"/>
      <c r="Q85" s="255"/>
      <c r="R85" s="264"/>
      <c r="AA85" s="255"/>
      <c r="AB85" s="264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</row>
    <row r="86" spans="2:44" ht="12.75">
      <c r="B86" s="247"/>
      <c r="C86" s="247"/>
      <c r="F86" s="255"/>
      <c r="G86" s="255"/>
      <c r="H86" s="264"/>
      <c r="Q86" s="255"/>
      <c r="R86" s="264"/>
      <c r="AA86" s="255"/>
      <c r="AB86" s="264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</row>
    <row r="87" spans="2:44" ht="12.75">
      <c r="B87" s="247"/>
      <c r="C87" s="247"/>
      <c r="F87" s="255"/>
      <c r="G87" s="255"/>
      <c r="H87" s="264"/>
      <c r="Q87" s="255"/>
      <c r="R87" s="264"/>
      <c r="AA87" s="255"/>
      <c r="AB87" s="264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</row>
    <row r="88" spans="2:44" ht="12.75">
      <c r="B88" s="247"/>
      <c r="C88" s="247"/>
      <c r="F88" s="255"/>
      <c r="G88" s="255"/>
      <c r="H88" s="264"/>
      <c r="Q88" s="255"/>
      <c r="R88" s="264"/>
      <c r="AA88" s="255"/>
      <c r="AB88" s="264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</row>
    <row r="89" spans="2:44" ht="12.75">
      <c r="B89" s="247"/>
      <c r="C89" s="247"/>
      <c r="F89" s="255"/>
      <c r="G89" s="255"/>
      <c r="H89" s="264"/>
      <c r="Q89" s="255"/>
      <c r="R89" s="264"/>
      <c r="AA89" s="255"/>
      <c r="AB89" s="264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</row>
    <row r="90" spans="2:44" ht="12.75">
      <c r="B90" s="247"/>
      <c r="C90" s="247"/>
      <c r="F90" s="255"/>
      <c r="G90" s="255"/>
      <c r="H90" s="264"/>
      <c r="Q90" s="255"/>
      <c r="R90" s="264"/>
      <c r="AA90" s="255"/>
      <c r="AB90" s="264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</row>
    <row r="91" spans="2:44" ht="12.75">
      <c r="B91" s="247"/>
      <c r="C91" s="247"/>
      <c r="F91" s="255"/>
      <c r="G91" s="255"/>
      <c r="H91" s="264"/>
      <c r="Q91" s="255"/>
      <c r="R91" s="264"/>
      <c r="AA91" s="255"/>
      <c r="AB91" s="264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</row>
    <row r="92" spans="2:44" ht="12.75">
      <c r="B92" s="247"/>
      <c r="C92" s="247"/>
      <c r="F92" s="250"/>
      <c r="G92" s="250"/>
      <c r="H92" s="264"/>
      <c r="Q92" s="250"/>
      <c r="R92" s="264"/>
      <c r="AA92" s="250"/>
      <c r="AB92" s="264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</row>
    <row r="93" spans="2:44" ht="12.75">
      <c r="B93" s="247"/>
      <c r="C93" s="247"/>
      <c r="F93" s="250"/>
      <c r="G93" s="250"/>
      <c r="H93" s="264"/>
      <c r="Q93" s="250"/>
      <c r="R93" s="264"/>
      <c r="AA93" s="250"/>
      <c r="AB93" s="264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</row>
    <row r="94" spans="2:44" ht="12.75">
      <c r="B94" s="247"/>
      <c r="C94" s="247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</row>
    <row r="95" spans="2:44" ht="12.75">
      <c r="B95" s="247"/>
      <c r="C95" s="247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</row>
    <row r="96" spans="2:44" ht="12.75">
      <c r="B96" s="247"/>
      <c r="C96" s="247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</row>
    <row r="97" spans="2:44" ht="12.75">
      <c r="B97" s="247"/>
      <c r="C97" s="247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</row>
    <row r="98" spans="2:44" ht="12.75">
      <c r="B98" s="247"/>
      <c r="C98" s="247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</row>
    <row r="99" spans="2:44" ht="12.75">
      <c r="B99" s="247"/>
      <c r="C99" s="247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</row>
    <row r="100" spans="2:44" ht="12.75">
      <c r="B100" s="247"/>
      <c r="C100" s="247"/>
      <c r="F100" s="247"/>
      <c r="G100" s="247"/>
      <c r="H100" s="266"/>
      <c r="Q100" s="247"/>
      <c r="R100" s="266"/>
      <c r="AA100" s="247"/>
      <c r="AB100" s="266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</row>
    <row r="101" spans="2:44" ht="12.75">
      <c r="B101" s="247"/>
      <c r="C101" s="247"/>
      <c r="F101" s="247"/>
      <c r="G101" s="247"/>
      <c r="H101" s="266"/>
      <c r="Q101" s="247"/>
      <c r="R101" s="266"/>
      <c r="AA101" s="247"/>
      <c r="AB101" s="266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</row>
    <row r="102" spans="2:44" ht="12.75">
      <c r="B102" s="247"/>
      <c r="C102" s="247"/>
      <c r="F102" s="247"/>
      <c r="G102" s="247"/>
      <c r="H102" s="266"/>
      <c r="Q102" s="247"/>
      <c r="R102" s="266"/>
      <c r="AA102" s="247"/>
      <c r="AB102" s="266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</row>
    <row r="103" spans="2:44" ht="12.75">
      <c r="B103" s="247"/>
      <c r="C103" s="247"/>
      <c r="F103" s="247"/>
      <c r="G103" s="247"/>
      <c r="H103" s="266"/>
      <c r="Q103" s="247"/>
      <c r="R103" s="266"/>
      <c r="AA103" s="247"/>
      <c r="AB103" s="266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</row>
    <row r="104" spans="2:44" ht="12.75">
      <c r="B104" s="247"/>
      <c r="C104" s="247"/>
      <c r="F104" s="247"/>
      <c r="G104" s="247"/>
      <c r="H104" s="266"/>
      <c r="Q104" s="247"/>
      <c r="R104" s="266"/>
      <c r="AA104" s="247"/>
      <c r="AB104" s="266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</row>
    <row r="105" spans="2:44" ht="12.75">
      <c r="B105" s="247"/>
      <c r="C105" s="247"/>
      <c r="F105" s="247"/>
      <c r="G105" s="247"/>
      <c r="H105" s="266"/>
      <c r="Q105" s="247"/>
      <c r="R105" s="266"/>
      <c r="AA105" s="247"/>
      <c r="AB105" s="266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</row>
    <row r="106" spans="6:44" ht="12.75">
      <c r="F106" s="247"/>
      <c r="G106" s="247"/>
      <c r="H106" s="266"/>
      <c r="Q106" s="247"/>
      <c r="R106" s="266"/>
      <c r="AA106" s="247"/>
      <c r="AB106" s="266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</row>
    <row r="107" spans="6:44" ht="12.75">
      <c r="F107" s="247"/>
      <c r="G107" s="247"/>
      <c r="H107" s="266"/>
      <c r="Q107" s="247"/>
      <c r="R107" s="266"/>
      <c r="AA107" s="247"/>
      <c r="AB107" s="266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</row>
    <row r="108" spans="6:44" ht="12.75">
      <c r="F108" s="247"/>
      <c r="G108" s="247"/>
      <c r="H108" s="266"/>
      <c r="Q108" s="247"/>
      <c r="R108" s="266"/>
      <c r="AA108" s="247"/>
      <c r="AB108" s="266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</row>
    <row r="109" spans="6:44" ht="12.75">
      <c r="F109" s="247"/>
      <c r="G109" s="247"/>
      <c r="H109" s="266"/>
      <c r="Q109" s="247"/>
      <c r="R109" s="266"/>
      <c r="AA109" s="247"/>
      <c r="AB109" s="266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</row>
    <row r="110" spans="6:44" ht="12.75">
      <c r="F110" s="247"/>
      <c r="G110" s="247"/>
      <c r="H110" s="266"/>
      <c r="Q110" s="247"/>
      <c r="R110" s="266"/>
      <c r="AA110" s="247"/>
      <c r="AB110" s="266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</row>
    <row r="111" spans="6:44" ht="12.75">
      <c r="F111" s="247"/>
      <c r="G111" s="247"/>
      <c r="H111" s="266"/>
      <c r="Q111" s="247"/>
      <c r="R111" s="266"/>
      <c r="AA111" s="247"/>
      <c r="AB111" s="266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</row>
    <row r="112" spans="6:44" ht="12.75">
      <c r="F112" s="247"/>
      <c r="G112" s="247"/>
      <c r="H112" s="266"/>
      <c r="Q112" s="247"/>
      <c r="R112" s="266"/>
      <c r="AA112" s="247"/>
      <c r="AB112" s="266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</row>
    <row r="113" spans="6:44" ht="12.75">
      <c r="F113" s="247"/>
      <c r="G113" s="247"/>
      <c r="H113" s="266"/>
      <c r="Q113" s="247"/>
      <c r="R113" s="266"/>
      <c r="AA113" s="247"/>
      <c r="AB113" s="266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</row>
    <row r="114" spans="6:44" ht="12.75">
      <c r="F114" s="247"/>
      <c r="G114" s="247"/>
      <c r="H114" s="266"/>
      <c r="Q114" s="247"/>
      <c r="R114" s="266"/>
      <c r="AA114" s="247"/>
      <c r="AB114" s="266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</row>
    <row r="115" spans="6:44" ht="12.75">
      <c r="F115" s="247"/>
      <c r="G115" s="247"/>
      <c r="H115" s="266"/>
      <c r="Q115" s="247"/>
      <c r="R115" s="266"/>
      <c r="AA115" s="247"/>
      <c r="AB115" s="266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</row>
    <row r="116" spans="6:44" ht="12.75">
      <c r="F116" s="247"/>
      <c r="G116" s="247"/>
      <c r="H116" s="266"/>
      <c r="Q116" s="247"/>
      <c r="R116" s="266"/>
      <c r="AA116" s="247"/>
      <c r="AB116" s="266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</row>
    <row r="117" spans="6:44" ht="12.75">
      <c r="F117" s="247"/>
      <c r="G117" s="247"/>
      <c r="H117" s="266"/>
      <c r="Q117" s="247"/>
      <c r="R117" s="266"/>
      <c r="AA117" s="247"/>
      <c r="AB117" s="266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</row>
    <row r="118" spans="6:44" ht="12.75">
      <c r="F118" s="247"/>
      <c r="G118" s="247"/>
      <c r="H118" s="266"/>
      <c r="Q118" s="247"/>
      <c r="R118" s="266"/>
      <c r="AA118" s="247"/>
      <c r="AB118" s="266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</row>
    <row r="119" spans="6:44" ht="12.75">
      <c r="F119" s="247"/>
      <c r="G119" s="247"/>
      <c r="H119" s="266"/>
      <c r="Q119" s="247"/>
      <c r="R119" s="266"/>
      <c r="AA119" s="247"/>
      <c r="AB119" s="266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</row>
    <row r="120" spans="6:44" ht="12.75">
      <c r="F120" s="247"/>
      <c r="G120" s="247"/>
      <c r="H120" s="266"/>
      <c r="Q120" s="247"/>
      <c r="R120" s="266"/>
      <c r="AA120" s="247"/>
      <c r="AB120" s="266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</row>
    <row r="121" spans="35:44" ht="12.75"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</row>
    <row r="122" spans="35:44" ht="12.75"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</row>
    <row r="123" spans="35:44" ht="12.75"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</row>
    <row r="124" spans="35:44" ht="12.75"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</row>
    <row r="125" spans="35:44" ht="12.75"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</row>
    <row r="126" spans="35:44" ht="12.75"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</row>
    <row r="127" spans="35:44" ht="12.75"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</row>
    <row r="128" spans="35:44" ht="12.75"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</row>
    <row r="129" spans="35:44" ht="12.75"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</row>
    <row r="130" spans="35:44" ht="12.75"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</row>
    <row r="131" spans="35:44" ht="12.75"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</row>
    <row r="132" spans="35:44" ht="12.75"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</row>
    <row r="133" spans="35:44" ht="12.75"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</row>
    <row r="134" spans="35:44" ht="12.75"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</row>
    <row r="135" spans="35:44" ht="12.75"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</row>
    <row r="136" spans="35:44" ht="12.75"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</row>
    <row r="137" spans="35:44" ht="12.75"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</row>
    <row r="138" spans="35:44" ht="12.75"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</row>
    <row r="139" spans="35:44" ht="12.75"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</row>
    <row r="140" spans="35:44" ht="12.75"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</row>
    <row r="141" spans="35:44" ht="12.75"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</row>
    <row r="142" spans="35:44" ht="12.75"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</row>
    <row r="143" spans="35:44" ht="12.75">
      <c r="AI143" s="250"/>
      <c r="AJ143" s="250"/>
      <c r="AK143" s="250"/>
      <c r="AL143" s="250"/>
      <c r="AM143" s="250"/>
      <c r="AN143" s="250"/>
      <c r="AO143" s="250"/>
      <c r="AP143" s="250"/>
      <c r="AQ143" s="250"/>
      <c r="AR143" s="250"/>
    </row>
    <row r="144" spans="35:44" ht="12.75">
      <c r="AI144" s="250"/>
      <c r="AJ144" s="250"/>
      <c r="AK144" s="250"/>
      <c r="AL144" s="250"/>
      <c r="AM144" s="250"/>
      <c r="AN144" s="250"/>
      <c r="AO144" s="250"/>
      <c r="AP144" s="250"/>
      <c r="AQ144" s="250"/>
      <c r="AR144" s="250"/>
    </row>
    <row r="145" spans="35:44" ht="12.75"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</row>
    <row r="146" spans="35:44" ht="12.75">
      <c r="AI146" s="250"/>
      <c r="AJ146" s="250"/>
      <c r="AK146" s="250"/>
      <c r="AL146" s="250"/>
      <c r="AM146" s="250"/>
      <c r="AN146" s="250"/>
      <c r="AO146" s="250"/>
      <c r="AP146" s="250"/>
      <c r="AQ146" s="250"/>
      <c r="AR146" s="250"/>
    </row>
    <row r="147" spans="35:44" ht="12.75">
      <c r="AI147" s="250"/>
      <c r="AJ147" s="250"/>
      <c r="AK147" s="250"/>
      <c r="AL147" s="250"/>
      <c r="AM147" s="250"/>
      <c r="AN147" s="250"/>
      <c r="AO147" s="250"/>
      <c r="AP147" s="250"/>
      <c r="AQ147" s="250"/>
      <c r="AR147" s="250"/>
    </row>
    <row r="148" spans="35:44" ht="12.75">
      <c r="AI148" s="250"/>
      <c r="AJ148" s="250"/>
      <c r="AK148" s="250"/>
      <c r="AL148" s="250"/>
      <c r="AM148" s="250"/>
      <c r="AN148" s="250"/>
      <c r="AO148" s="250"/>
      <c r="AP148" s="250"/>
      <c r="AQ148" s="250"/>
      <c r="AR148" s="250"/>
    </row>
    <row r="149" spans="35:44" ht="12.75">
      <c r="AI149" s="250"/>
      <c r="AJ149" s="250"/>
      <c r="AK149" s="250"/>
      <c r="AL149" s="250"/>
      <c r="AM149" s="250"/>
      <c r="AN149" s="250"/>
      <c r="AO149" s="250"/>
      <c r="AP149" s="250"/>
      <c r="AQ149" s="250"/>
      <c r="AR149" s="250"/>
    </row>
    <row r="150" spans="35:44" ht="12.75">
      <c r="AI150" s="250"/>
      <c r="AJ150" s="250"/>
      <c r="AK150" s="250"/>
      <c r="AL150" s="250"/>
      <c r="AM150" s="250"/>
      <c r="AN150" s="250"/>
      <c r="AO150" s="250"/>
      <c r="AP150" s="250"/>
      <c r="AQ150" s="250"/>
      <c r="AR150" s="250"/>
    </row>
    <row r="151" spans="35:44" ht="12.75">
      <c r="AI151" s="250"/>
      <c r="AJ151" s="250"/>
      <c r="AK151" s="250"/>
      <c r="AL151" s="250"/>
      <c r="AM151" s="250"/>
      <c r="AN151" s="250"/>
      <c r="AO151" s="250"/>
      <c r="AP151" s="250"/>
      <c r="AQ151" s="250"/>
      <c r="AR151" s="250"/>
    </row>
    <row r="152" spans="35:44" ht="12.75"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</row>
    <row r="153" spans="35:44" ht="12.75"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</row>
    <row r="154" spans="35:44" ht="12.75"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</row>
    <row r="155" spans="35:44" ht="12.75"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</row>
    <row r="156" spans="35:44" ht="12.75">
      <c r="AI156" s="250"/>
      <c r="AJ156" s="250"/>
      <c r="AK156" s="250"/>
      <c r="AL156" s="250"/>
      <c r="AM156" s="250"/>
      <c r="AN156" s="250"/>
      <c r="AO156" s="250"/>
      <c r="AP156" s="250"/>
      <c r="AQ156" s="250"/>
      <c r="AR156" s="250"/>
    </row>
    <row r="157" spans="35:44" ht="12.75">
      <c r="AI157" s="250"/>
      <c r="AJ157" s="250"/>
      <c r="AK157" s="250"/>
      <c r="AL157" s="250"/>
      <c r="AM157" s="250"/>
      <c r="AN157" s="250"/>
      <c r="AO157" s="250"/>
      <c r="AP157" s="250"/>
      <c r="AQ157" s="250"/>
      <c r="AR157" s="250"/>
    </row>
    <row r="158" spans="35:44" ht="12.75">
      <c r="AI158" s="250"/>
      <c r="AJ158" s="250"/>
      <c r="AK158" s="250"/>
      <c r="AL158" s="250"/>
      <c r="AM158" s="250"/>
      <c r="AN158" s="250"/>
      <c r="AO158" s="250"/>
      <c r="AP158" s="250"/>
      <c r="AQ158" s="250"/>
      <c r="AR158" s="250"/>
    </row>
    <row r="159" spans="35:44" ht="12.75"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</row>
    <row r="160" spans="35:44" ht="12.75"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</row>
    <row r="161" spans="35:44" ht="12.75">
      <c r="AI161" s="250"/>
      <c r="AJ161" s="250"/>
      <c r="AK161" s="250"/>
      <c r="AL161" s="250"/>
      <c r="AM161" s="250"/>
      <c r="AN161" s="250"/>
      <c r="AO161" s="250"/>
      <c r="AP161" s="250"/>
      <c r="AQ161" s="250"/>
      <c r="AR161" s="250"/>
    </row>
    <row r="162" spans="35:44" ht="12.75">
      <c r="AI162" s="250"/>
      <c r="AJ162" s="250"/>
      <c r="AK162" s="250"/>
      <c r="AL162" s="250"/>
      <c r="AM162" s="250"/>
      <c r="AN162" s="250"/>
      <c r="AO162" s="250"/>
      <c r="AP162" s="250"/>
      <c r="AQ162" s="250"/>
      <c r="AR162" s="250"/>
    </row>
    <row r="163" spans="35:44" ht="12.75">
      <c r="AI163" s="250"/>
      <c r="AJ163" s="250"/>
      <c r="AK163" s="250"/>
      <c r="AL163" s="250"/>
      <c r="AM163" s="250"/>
      <c r="AN163" s="250"/>
      <c r="AO163" s="250"/>
      <c r="AP163" s="250"/>
      <c r="AQ163" s="250"/>
      <c r="AR163" s="250"/>
    </row>
    <row r="164" spans="35:44" ht="12.75">
      <c r="AI164" s="250"/>
      <c r="AJ164" s="250"/>
      <c r="AK164" s="250"/>
      <c r="AL164" s="250"/>
      <c r="AM164" s="250"/>
      <c r="AN164" s="250"/>
      <c r="AO164" s="250"/>
      <c r="AP164" s="250"/>
      <c r="AQ164" s="250"/>
      <c r="AR164" s="250"/>
    </row>
    <row r="165" spans="35:44" ht="12.75">
      <c r="AI165" s="250"/>
      <c r="AJ165" s="250"/>
      <c r="AK165" s="250"/>
      <c r="AL165" s="250"/>
      <c r="AM165" s="250"/>
      <c r="AN165" s="250"/>
      <c r="AO165" s="250"/>
      <c r="AP165" s="250"/>
      <c r="AQ165" s="250"/>
      <c r="AR165" s="250"/>
    </row>
    <row r="166" spans="35:44" ht="12.75">
      <c r="AI166" s="250"/>
      <c r="AJ166" s="250"/>
      <c r="AK166" s="250"/>
      <c r="AL166" s="250"/>
      <c r="AM166" s="250"/>
      <c r="AN166" s="250"/>
      <c r="AO166" s="250"/>
      <c r="AP166" s="250"/>
      <c r="AQ166" s="250"/>
      <c r="AR166" s="250"/>
    </row>
    <row r="167" spans="35:44" ht="12.75">
      <c r="AI167" s="250"/>
      <c r="AJ167" s="250"/>
      <c r="AK167" s="250"/>
      <c r="AL167" s="250"/>
      <c r="AM167" s="250"/>
      <c r="AN167" s="250"/>
      <c r="AO167" s="250"/>
      <c r="AP167" s="250"/>
      <c r="AQ167" s="250"/>
      <c r="AR167" s="250"/>
    </row>
    <row r="168" spans="35:44" ht="12.75">
      <c r="AI168" s="250"/>
      <c r="AJ168" s="250"/>
      <c r="AK168" s="250"/>
      <c r="AL168" s="250"/>
      <c r="AM168" s="250"/>
      <c r="AN168" s="250"/>
      <c r="AO168" s="250"/>
      <c r="AP168" s="250"/>
      <c r="AQ168" s="250"/>
      <c r="AR168" s="250"/>
    </row>
    <row r="169" spans="35:44" ht="12.75">
      <c r="AI169" s="250"/>
      <c r="AJ169" s="250"/>
      <c r="AK169" s="250"/>
      <c r="AL169" s="250"/>
      <c r="AM169" s="250"/>
      <c r="AN169" s="250"/>
      <c r="AO169" s="250"/>
      <c r="AP169" s="250"/>
      <c r="AQ169" s="250"/>
      <c r="AR169" s="250"/>
    </row>
    <row r="170" spans="35:44" ht="12.75">
      <c r="AI170" s="250"/>
      <c r="AJ170" s="250"/>
      <c r="AK170" s="250"/>
      <c r="AL170" s="250"/>
      <c r="AM170" s="250"/>
      <c r="AN170" s="250"/>
      <c r="AO170" s="250"/>
      <c r="AP170" s="250"/>
      <c r="AQ170" s="250"/>
      <c r="AR170" s="250"/>
    </row>
    <row r="171" spans="35:44" ht="12.75">
      <c r="AI171" s="250"/>
      <c r="AJ171" s="250"/>
      <c r="AK171" s="250"/>
      <c r="AL171" s="250"/>
      <c r="AM171" s="250"/>
      <c r="AN171" s="250"/>
      <c r="AO171" s="250"/>
      <c r="AP171" s="250"/>
      <c r="AQ171" s="250"/>
      <c r="AR171" s="250"/>
    </row>
    <row r="172" spans="35:44" ht="12.75">
      <c r="AI172" s="250"/>
      <c r="AJ172" s="250"/>
      <c r="AK172" s="250"/>
      <c r="AL172" s="250"/>
      <c r="AM172" s="250"/>
      <c r="AN172" s="250"/>
      <c r="AO172" s="250"/>
      <c r="AP172" s="250"/>
      <c r="AQ172" s="250"/>
      <c r="AR172" s="250"/>
    </row>
    <row r="173" spans="35:44" ht="12.75">
      <c r="AI173" s="250"/>
      <c r="AJ173" s="250"/>
      <c r="AK173" s="250"/>
      <c r="AL173" s="250"/>
      <c r="AM173" s="250"/>
      <c r="AN173" s="250"/>
      <c r="AO173" s="250"/>
      <c r="AP173" s="250"/>
      <c r="AQ173" s="250"/>
      <c r="AR173" s="250"/>
    </row>
    <row r="174" spans="35:44" ht="12.75">
      <c r="AI174" s="250"/>
      <c r="AJ174" s="250"/>
      <c r="AK174" s="250"/>
      <c r="AL174" s="250"/>
      <c r="AM174" s="250"/>
      <c r="AN174" s="250"/>
      <c r="AO174" s="250"/>
      <c r="AP174" s="250"/>
      <c r="AQ174" s="250"/>
      <c r="AR174" s="250"/>
    </row>
    <row r="175" spans="35:44" ht="12.75">
      <c r="AI175" s="250"/>
      <c r="AJ175" s="250"/>
      <c r="AK175" s="250"/>
      <c r="AL175" s="250"/>
      <c r="AM175" s="250"/>
      <c r="AN175" s="250"/>
      <c r="AO175" s="250"/>
      <c r="AP175" s="250"/>
      <c r="AQ175" s="250"/>
      <c r="AR175" s="250"/>
    </row>
    <row r="176" spans="35:44" ht="12.75">
      <c r="AI176" s="250"/>
      <c r="AJ176" s="250"/>
      <c r="AK176" s="250"/>
      <c r="AL176" s="250"/>
      <c r="AM176" s="250"/>
      <c r="AN176" s="250"/>
      <c r="AO176" s="250"/>
      <c r="AP176" s="250"/>
      <c r="AQ176" s="250"/>
      <c r="AR176" s="250"/>
    </row>
    <row r="177" spans="35:44" ht="12.75">
      <c r="AI177" s="250"/>
      <c r="AJ177" s="250"/>
      <c r="AK177" s="250"/>
      <c r="AL177" s="250"/>
      <c r="AM177" s="250"/>
      <c r="AN177" s="250"/>
      <c r="AO177" s="250"/>
      <c r="AP177" s="250"/>
      <c r="AQ177" s="250"/>
      <c r="AR177" s="250"/>
    </row>
    <row r="178" spans="35:44" ht="12.75">
      <c r="AI178" s="250"/>
      <c r="AJ178" s="250"/>
      <c r="AK178" s="250"/>
      <c r="AL178" s="250"/>
      <c r="AM178" s="250"/>
      <c r="AN178" s="250"/>
      <c r="AO178" s="250"/>
      <c r="AP178" s="250"/>
      <c r="AQ178" s="250"/>
      <c r="AR178" s="250"/>
    </row>
    <row r="179" spans="35:44" ht="12.75">
      <c r="AI179" s="250"/>
      <c r="AJ179" s="250"/>
      <c r="AK179" s="250"/>
      <c r="AL179" s="250"/>
      <c r="AM179" s="250"/>
      <c r="AN179" s="250"/>
      <c r="AO179" s="250"/>
      <c r="AP179" s="250"/>
      <c r="AQ179" s="250"/>
      <c r="AR179" s="250"/>
    </row>
    <row r="180" spans="35:44" ht="12.75">
      <c r="AI180" s="250"/>
      <c r="AJ180" s="250"/>
      <c r="AK180" s="250"/>
      <c r="AL180" s="250"/>
      <c r="AM180" s="250"/>
      <c r="AN180" s="250"/>
      <c r="AO180" s="250"/>
      <c r="AP180" s="250"/>
      <c r="AQ180" s="250"/>
      <c r="AR180" s="250"/>
    </row>
    <row r="181" spans="35:44" ht="12.75">
      <c r="AI181" s="250"/>
      <c r="AJ181" s="250"/>
      <c r="AK181" s="250"/>
      <c r="AL181" s="250"/>
      <c r="AM181" s="250"/>
      <c r="AN181" s="250"/>
      <c r="AO181" s="250"/>
      <c r="AP181" s="250"/>
      <c r="AQ181" s="250"/>
      <c r="AR181" s="250"/>
    </row>
    <row r="182" spans="35:44" ht="12.75"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</row>
    <row r="183" spans="35:44" ht="12.75">
      <c r="AI183" s="250"/>
      <c r="AJ183" s="250"/>
      <c r="AK183" s="250"/>
      <c r="AL183" s="250"/>
      <c r="AM183" s="250"/>
      <c r="AN183" s="250"/>
      <c r="AO183" s="250"/>
      <c r="AP183" s="250"/>
      <c r="AQ183" s="250"/>
      <c r="AR183" s="250"/>
    </row>
    <row r="184" spans="35:44" ht="12.75">
      <c r="AI184" s="250"/>
      <c r="AJ184" s="250"/>
      <c r="AK184" s="250"/>
      <c r="AL184" s="250"/>
      <c r="AM184" s="250"/>
      <c r="AN184" s="250"/>
      <c r="AO184" s="250"/>
      <c r="AP184" s="250"/>
      <c r="AQ184" s="250"/>
      <c r="AR184" s="250"/>
    </row>
    <row r="185" spans="35:44" ht="12.75">
      <c r="AI185" s="250"/>
      <c r="AJ185" s="250"/>
      <c r="AK185" s="250"/>
      <c r="AL185" s="250"/>
      <c r="AM185" s="250"/>
      <c r="AN185" s="250"/>
      <c r="AO185" s="250"/>
      <c r="AP185" s="250"/>
      <c r="AQ185" s="250"/>
      <c r="AR185" s="250"/>
    </row>
    <row r="186" spans="35:44" ht="12.75">
      <c r="AI186" s="250"/>
      <c r="AJ186" s="250"/>
      <c r="AK186" s="250"/>
      <c r="AL186" s="250"/>
      <c r="AM186" s="250"/>
      <c r="AN186" s="250"/>
      <c r="AO186" s="250"/>
      <c r="AP186" s="250"/>
      <c r="AQ186" s="250"/>
      <c r="AR186" s="250"/>
    </row>
    <row r="187" spans="35:44" ht="12.75">
      <c r="AI187" s="250"/>
      <c r="AJ187" s="250"/>
      <c r="AK187" s="250"/>
      <c r="AL187" s="250"/>
      <c r="AM187" s="250"/>
      <c r="AN187" s="250"/>
      <c r="AO187" s="250"/>
      <c r="AP187" s="250"/>
      <c r="AQ187" s="250"/>
      <c r="AR187" s="250"/>
    </row>
    <row r="188" spans="35:44" ht="12.75"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</row>
    <row r="189" spans="35:44" ht="12.75">
      <c r="AI189" s="250"/>
      <c r="AJ189" s="250"/>
      <c r="AK189" s="250"/>
      <c r="AL189" s="250"/>
      <c r="AM189" s="250"/>
      <c r="AN189" s="250"/>
      <c r="AO189" s="250"/>
      <c r="AP189" s="250"/>
      <c r="AQ189" s="250"/>
      <c r="AR189" s="250"/>
    </row>
    <row r="190" spans="35:44" ht="12.75">
      <c r="AI190" s="250"/>
      <c r="AJ190" s="250"/>
      <c r="AK190" s="250"/>
      <c r="AL190" s="250"/>
      <c r="AM190" s="250"/>
      <c r="AN190" s="250"/>
      <c r="AO190" s="250"/>
      <c r="AP190" s="250"/>
      <c r="AQ190" s="250"/>
      <c r="AR190" s="250"/>
    </row>
    <row r="191" spans="35:44" ht="12.75">
      <c r="AI191" s="250"/>
      <c r="AJ191" s="250"/>
      <c r="AK191" s="250"/>
      <c r="AL191" s="250"/>
      <c r="AM191" s="250"/>
      <c r="AN191" s="250"/>
      <c r="AO191" s="250"/>
      <c r="AP191" s="250"/>
      <c r="AQ191" s="250"/>
      <c r="AR191" s="250"/>
    </row>
    <row r="192" spans="35:44" ht="12.75">
      <c r="AI192" s="250"/>
      <c r="AJ192" s="250"/>
      <c r="AK192" s="250"/>
      <c r="AL192" s="250"/>
      <c r="AM192" s="250"/>
      <c r="AN192" s="250"/>
      <c r="AO192" s="250"/>
      <c r="AP192" s="250"/>
      <c r="AQ192" s="250"/>
      <c r="AR192" s="250"/>
    </row>
    <row r="193" spans="35:44" ht="12.75">
      <c r="AI193" s="250"/>
      <c r="AJ193" s="250"/>
      <c r="AK193" s="250"/>
      <c r="AL193" s="250"/>
      <c r="AM193" s="250"/>
      <c r="AN193" s="250"/>
      <c r="AO193" s="250"/>
      <c r="AP193" s="250"/>
      <c r="AQ193" s="250"/>
      <c r="AR193" s="250"/>
    </row>
    <row r="194" spans="35:44" ht="12.75">
      <c r="AI194" s="250"/>
      <c r="AJ194" s="250"/>
      <c r="AK194" s="250"/>
      <c r="AL194" s="250"/>
      <c r="AM194" s="250"/>
      <c r="AN194" s="250"/>
      <c r="AO194" s="250"/>
      <c r="AP194" s="250"/>
      <c r="AQ194" s="250"/>
      <c r="AR194" s="250"/>
    </row>
    <row r="195" spans="35:44" ht="12.75">
      <c r="AI195" s="250"/>
      <c r="AJ195" s="250"/>
      <c r="AK195" s="250"/>
      <c r="AL195" s="250"/>
      <c r="AM195" s="250"/>
      <c r="AN195" s="250"/>
      <c r="AO195" s="250"/>
      <c r="AP195" s="250"/>
      <c r="AQ195" s="250"/>
      <c r="AR195" s="250"/>
    </row>
    <row r="196" spans="35:44" ht="12.75">
      <c r="AI196" s="250"/>
      <c r="AJ196" s="250"/>
      <c r="AK196" s="250"/>
      <c r="AL196" s="250"/>
      <c r="AM196" s="250"/>
      <c r="AN196" s="250"/>
      <c r="AO196" s="250"/>
      <c r="AP196" s="250"/>
      <c r="AQ196" s="250"/>
      <c r="AR196" s="250"/>
    </row>
    <row r="197" spans="35:44" ht="12.75">
      <c r="AI197" s="250"/>
      <c r="AJ197" s="250"/>
      <c r="AK197" s="250"/>
      <c r="AL197" s="250"/>
      <c r="AM197" s="250"/>
      <c r="AN197" s="250"/>
      <c r="AO197" s="250"/>
      <c r="AP197" s="250"/>
      <c r="AQ197" s="250"/>
      <c r="AR197" s="250"/>
    </row>
    <row r="198" spans="35:44" ht="12.75">
      <c r="AI198" s="250"/>
      <c r="AJ198" s="250"/>
      <c r="AK198" s="250"/>
      <c r="AL198" s="250"/>
      <c r="AM198" s="250"/>
      <c r="AN198" s="250"/>
      <c r="AO198" s="250"/>
      <c r="AP198" s="250"/>
      <c r="AQ198" s="250"/>
      <c r="AR198" s="250"/>
    </row>
    <row r="199" spans="35:44" ht="12.75">
      <c r="AI199" s="250"/>
      <c r="AJ199" s="250"/>
      <c r="AK199" s="250"/>
      <c r="AL199" s="250"/>
      <c r="AM199" s="250"/>
      <c r="AN199" s="250"/>
      <c r="AO199" s="250"/>
      <c r="AP199" s="250"/>
      <c r="AQ199" s="250"/>
      <c r="AR199" s="250"/>
    </row>
    <row r="200" spans="35:44" ht="12.75">
      <c r="AI200" s="250"/>
      <c r="AJ200" s="250"/>
      <c r="AK200" s="250"/>
      <c r="AL200" s="250"/>
      <c r="AM200" s="250"/>
      <c r="AN200" s="250"/>
      <c r="AO200" s="250"/>
      <c r="AP200" s="250"/>
      <c r="AQ200" s="250"/>
      <c r="AR200" s="250"/>
    </row>
    <row r="201" spans="35:44" ht="12.75"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</row>
    <row r="202" spans="35:44" ht="12.75">
      <c r="AI202" s="250"/>
      <c r="AJ202" s="250"/>
      <c r="AK202" s="250"/>
      <c r="AL202" s="250"/>
      <c r="AM202" s="250"/>
      <c r="AN202" s="250"/>
      <c r="AO202" s="250"/>
      <c r="AP202" s="250"/>
      <c r="AQ202" s="250"/>
      <c r="AR202" s="250"/>
    </row>
    <row r="203" spans="35:44" ht="12.75">
      <c r="AI203" s="250"/>
      <c r="AJ203" s="250"/>
      <c r="AK203" s="250"/>
      <c r="AL203" s="250"/>
      <c r="AM203" s="250"/>
      <c r="AN203" s="250"/>
      <c r="AO203" s="250"/>
      <c r="AP203" s="250"/>
      <c r="AQ203" s="250"/>
      <c r="AR203" s="250"/>
    </row>
    <row r="204" spans="35:44" ht="12.75">
      <c r="AI204" s="250"/>
      <c r="AJ204" s="250"/>
      <c r="AK204" s="250"/>
      <c r="AL204" s="250"/>
      <c r="AM204" s="250"/>
      <c r="AN204" s="250"/>
      <c r="AO204" s="250"/>
      <c r="AP204" s="250"/>
      <c r="AQ204" s="250"/>
      <c r="AR204" s="250"/>
    </row>
    <row r="205" spans="35:44" ht="12.75">
      <c r="AI205" s="250"/>
      <c r="AJ205" s="250"/>
      <c r="AK205" s="250"/>
      <c r="AL205" s="250"/>
      <c r="AM205" s="250"/>
      <c r="AN205" s="250"/>
      <c r="AO205" s="250"/>
      <c r="AP205" s="250"/>
      <c r="AQ205" s="250"/>
      <c r="AR205" s="250"/>
    </row>
    <row r="206" spans="35:44" ht="12.75">
      <c r="AI206" s="250"/>
      <c r="AJ206" s="250"/>
      <c r="AK206" s="250"/>
      <c r="AL206" s="250"/>
      <c r="AM206" s="250"/>
      <c r="AN206" s="250"/>
      <c r="AO206" s="250"/>
      <c r="AP206" s="250"/>
      <c r="AQ206" s="250"/>
      <c r="AR206" s="250"/>
    </row>
    <row r="207" spans="35:44" ht="12.75">
      <c r="AI207" s="250"/>
      <c r="AJ207" s="250"/>
      <c r="AK207" s="250"/>
      <c r="AL207" s="250"/>
      <c r="AM207" s="250"/>
      <c r="AN207" s="250"/>
      <c r="AO207" s="250"/>
      <c r="AP207" s="250"/>
      <c r="AQ207" s="250"/>
      <c r="AR207" s="250"/>
    </row>
    <row r="208" spans="35:44" ht="12.75">
      <c r="AI208" s="250"/>
      <c r="AJ208" s="250"/>
      <c r="AK208" s="250"/>
      <c r="AL208" s="250"/>
      <c r="AM208" s="250"/>
      <c r="AN208" s="250"/>
      <c r="AO208" s="250"/>
      <c r="AP208" s="250"/>
      <c r="AQ208" s="250"/>
      <c r="AR208" s="250"/>
    </row>
    <row r="209" spans="35:44" ht="12.75">
      <c r="AI209" s="250"/>
      <c r="AJ209" s="250"/>
      <c r="AK209" s="250"/>
      <c r="AL209" s="250"/>
      <c r="AM209" s="250"/>
      <c r="AN209" s="250"/>
      <c r="AO209" s="250"/>
      <c r="AP209" s="250"/>
      <c r="AQ209" s="250"/>
      <c r="AR209" s="250"/>
    </row>
    <row r="210" spans="35:44" ht="12.75">
      <c r="AI210" s="250"/>
      <c r="AJ210" s="250"/>
      <c r="AK210" s="250"/>
      <c r="AL210" s="250"/>
      <c r="AM210" s="250"/>
      <c r="AN210" s="250"/>
      <c r="AO210" s="250"/>
      <c r="AP210" s="250"/>
      <c r="AQ210" s="250"/>
      <c r="AR210" s="250"/>
    </row>
    <row r="211" spans="35:44" ht="12.75">
      <c r="AI211" s="250"/>
      <c r="AJ211" s="250"/>
      <c r="AK211" s="250"/>
      <c r="AL211" s="250"/>
      <c r="AM211" s="250"/>
      <c r="AN211" s="250"/>
      <c r="AO211" s="250"/>
      <c r="AP211" s="250"/>
      <c r="AQ211" s="250"/>
      <c r="AR211" s="250"/>
    </row>
    <row r="212" spans="35:44" ht="12.75">
      <c r="AI212" s="250"/>
      <c r="AJ212" s="250"/>
      <c r="AK212" s="250"/>
      <c r="AL212" s="250"/>
      <c r="AM212" s="250"/>
      <c r="AN212" s="250"/>
      <c r="AO212" s="250"/>
      <c r="AP212" s="250"/>
      <c r="AQ212" s="250"/>
      <c r="AR212" s="250"/>
    </row>
    <row r="213" spans="35:44" ht="12.75">
      <c r="AI213" s="250"/>
      <c r="AJ213" s="250"/>
      <c r="AK213" s="250"/>
      <c r="AL213" s="250"/>
      <c r="AM213" s="250"/>
      <c r="AN213" s="250"/>
      <c r="AO213" s="250"/>
      <c r="AP213" s="250"/>
      <c r="AQ213" s="250"/>
      <c r="AR213" s="250"/>
    </row>
    <row r="214" spans="35:44" ht="12.75">
      <c r="AI214" s="250"/>
      <c r="AJ214" s="250"/>
      <c r="AK214" s="250"/>
      <c r="AL214" s="250"/>
      <c r="AM214" s="250"/>
      <c r="AN214" s="250"/>
      <c r="AO214" s="250"/>
      <c r="AP214" s="250"/>
      <c r="AQ214" s="250"/>
      <c r="AR214" s="250"/>
    </row>
    <row r="215" spans="35:44" ht="12.75">
      <c r="AI215" s="250"/>
      <c r="AJ215" s="250"/>
      <c r="AK215" s="250"/>
      <c r="AL215" s="250"/>
      <c r="AM215" s="250"/>
      <c r="AN215" s="250"/>
      <c r="AO215" s="250"/>
      <c r="AP215" s="250"/>
      <c r="AQ215" s="250"/>
      <c r="AR215" s="250"/>
    </row>
    <row r="216" spans="35:44" ht="12.75">
      <c r="AI216" s="250"/>
      <c r="AJ216" s="250"/>
      <c r="AK216" s="250"/>
      <c r="AL216" s="250"/>
      <c r="AM216" s="250"/>
      <c r="AN216" s="250"/>
      <c r="AO216" s="250"/>
      <c r="AP216" s="250"/>
      <c r="AQ216" s="250"/>
      <c r="AR216" s="250"/>
    </row>
    <row r="217" spans="35:44" ht="12.75">
      <c r="AI217" s="250"/>
      <c r="AJ217" s="250"/>
      <c r="AK217" s="250"/>
      <c r="AL217" s="250"/>
      <c r="AM217" s="250"/>
      <c r="AN217" s="250"/>
      <c r="AO217" s="250"/>
      <c r="AP217" s="250"/>
      <c r="AQ217" s="250"/>
      <c r="AR217" s="250"/>
    </row>
    <row r="218" spans="35:44" ht="12.75">
      <c r="AI218" s="250"/>
      <c r="AJ218" s="250"/>
      <c r="AK218" s="250"/>
      <c r="AL218" s="250"/>
      <c r="AM218" s="250"/>
      <c r="AN218" s="250"/>
      <c r="AO218" s="250"/>
      <c r="AP218" s="250"/>
      <c r="AQ218" s="250"/>
      <c r="AR218" s="250"/>
    </row>
    <row r="219" spans="35:44" ht="12.75">
      <c r="AI219" s="250"/>
      <c r="AJ219" s="250"/>
      <c r="AK219" s="250"/>
      <c r="AL219" s="250"/>
      <c r="AM219" s="250"/>
      <c r="AN219" s="250"/>
      <c r="AO219" s="250"/>
      <c r="AP219" s="250"/>
      <c r="AQ219" s="250"/>
      <c r="AR219" s="250"/>
    </row>
    <row r="220" spans="35:44" ht="12.75">
      <c r="AI220" s="250"/>
      <c r="AJ220" s="250"/>
      <c r="AK220" s="250"/>
      <c r="AL220" s="250"/>
      <c r="AM220" s="250"/>
      <c r="AN220" s="250"/>
      <c r="AO220" s="250"/>
      <c r="AP220" s="250"/>
      <c r="AQ220" s="250"/>
      <c r="AR220" s="250"/>
    </row>
    <row r="221" spans="35:44" ht="12.75">
      <c r="AI221" s="250"/>
      <c r="AJ221" s="250"/>
      <c r="AK221" s="250"/>
      <c r="AL221" s="250"/>
      <c r="AM221" s="250"/>
      <c r="AN221" s="250"/>
      <c r="AO221" s="250"/>
      <c r="AP221" s="250"/>
      <c r="AQ221" s="250"/>
      <c r="AR221" s="250"/>
    </row>
    <row r="222" spans="35:44" ht="12.75">
      <c r="AI222" s="250"/>
      <c r="AJ222" s="250"/>
      <c r="AK222" s="250"/>
      <c r="AL222" s="250"/>
      <c r="AM222" s="250"/>
      <c r="AN222" s="250"/>
      <c r="AO222" s="250"/>
      <c r="AP222" s="250"/>
      <c r="AQ222" s="250"/>
      <c r="AR222" s="250"/>
    </row>
    <row r="223" spans="35:44" ht="12.75">
      <c r="AI223" s="250"/>
      <c r="AJ223" s="250"/>
      <c r="AK223" s="250"/>
      <c r="AL223" s="250"/>
      <c r="AM223" s="250"/>
      <c r="AN223" s="250"/>
      <c r="AO223" s="250"/>
      <c r="AP223" s="250"/>
      <c r="AQ223" s="250"/>
      <c r="AR223" s="250"/>
    </row>
    <row r="224" spans="35:44" ht="12.75">
      <c r="AI224" s="250"/>
      <c r="AJ224" s="250"/>
      <c r="AK224" s="250"/>
      <c r="AL224" s="250"/>
      <c r="AM224" s="250"/>
      <c r="AN224" s="250"/>
      <c r="AO224" s="250"/>
      <c r="AP224" s="250"/>
      <c r="AQ224" s="250"/>
      <c r="AR224" s="250"/>
    </row>
    <row r="225" spans="35:44" ht="12.75">
      <c r="AI225" s="250"/>
      <c r="AJ225" s="250"/>
      <c r="AK225" s="250"/>
      <c r="AL225" s="250"/>
      <c r="AM225" s="250"/>
      <c r="AN225" s="250"/>
      <c r="AO225" s="250"/>
      <c r="AP225" s="250"/>
      <c r="AQ225" s="250"/>
      <c r="AR225" s="250"/>
    </row>
    <row r="226" spans="35:44" ht="12.75">
      <c r="AI226" s="250"/>
      <c r="AJ226" s="250"/>
      <c r="AK226" s="250"/>
      <c r="AL226" s="250"/>
      <c r="AM226" s="250"/>
      <c r="AN226" s="250"/>
      <c r="AO226" s="250"/>
      <c r="AP226" s="250"/>
      <c r="AQ226" s="250"/>
      <c r="AR226" s="250"/>
    </row>
    <row r="227" spans="35:44" ht="12.75">
      <c r="AI227" s="250"/>
      <c r="AJ227" s="250"/>
      <c r="AK227" s="250"/>
      <c r="AL227" s="250"/>
      <c r="AM227" s="250"/>
      <c r="AN227" s="250"/>
      <c r="AO227" s="250"/>
      <c r="AP227" s="250"/>
      <c r="AQ227" s="250"/>
      <c r="AR227" s="250"/>
    </row>
    <row r="228" spans="35:44" ht="12.75">
      <c r="AI228" s="250"/>
      <c r="AJ228" s="250"/>
      <c r="AK228" s="250"/>
      <c r="AL228" s="250"/>
      <c r="AM228" s="250"/>
      <c r="AN228" s="250"/>
      <c r="AO228" s="250"/>
      <c r="AP228" s="250"/>
      <c r="AQ228" s="250"/>
      <c r="AR228" s="250"/>
    </row>
    <row r="229" spans="35:44" ht="12.75">
      <c r="AI229" s="250"/>
      <c r="AJ229" s="250"/>
      <c r="AK229" s="250"/>
      <c r="AL229" s="250"/>
      <c r="AM229" s="250"/>
      <c r="AN229" s="250"/>
      <c r="AO229" s="250"/>
      <c r="AP229" s="250"/>
      <c r="AQ229" s="250"/>
      <c r="AR229" s="250"/>
    </row>
    <row r="230" spans="35:44" ht="12.75">
      <c r="AI230" s="250"/>
      <c r="AJ230" s="250"/>
      <c r="AK230" s="250"/>
      <c r="AL230" s="250"/>
      <c r="AM230" s="250"/>
      <c r="AN230" s="250"/>
      <c r="AO230" s="250"/>
      <c r="AP230" s="250"/>
      <c r="AQ230" s="250"/>
      <c r="AR230" s="250"/>
    </row>
    <row r="231" spans="35:44" ht="12.75">
      <c r="AI231" s="250"/>
      <c r="AJ231" s="250"/>
      <c r="AK231" s="250"/>
      <c r="AL231" s="250"/>
      <c r="AM231" s="250"/>
      <c r="AN231" s="250"/>
      <c r="AO231" s="250"/>
      <c r="AP231" s="250"/>
      <c r="AQ231" s="250"/>
      <c r="AR231" s="250"/>
    </row>
    <row r="232" spans="35:44" ht="12.75">
      <c r="AI232" s="250"/>
      <c r="AJ232" s="250"/>
      <c r="AK232" s="250"/>
      <c r="AL232" s="250"/>
      <c r="AM232" s="250"/>
      <c r="AN232" s="250"/>
      <c r="AO232" s="250"/>
      <c r="AP232" s="250"/>
      <c r="AQ232" s="250"/>
      <c r="AR232" s="250"/>
    </row>
    <row r="233" spans="35:44" ht="12.75">
      <c r="AI233" s="250"/>
      <c r="AJ233" s="250"/>
      <c r="AK233" s="250"/>
      <c r="AL233" s="250"/>
      <c r="AM233" s="250"/>
      <c r="AN233" s="250"/>
      <c r="AO233" s="250"/>
      <c r="AP233" s="250"/>
      <c r="AQ233" s="250"/>
      <c r="AR233" s="250"/>
    </row>
    <row r="234" spans="35:44" ht="12.75">
      <c r="AI234" s="250"/>
      <c r="AJ234" s="250"/>
      <c r="AK234" s="250"/>
      <c r="AL234" s="250"/>
      <c r="AM234" s="250"/>
      <c r="AN234" s="250"/>
      <c r="AO234" s="250"/>
      <c r="AP234" s="250"/>
      <c r="AQ234" s="250"/>
      <c r="AR234" s="250"/>
    </row>
    <row r="235" spans="35:44" ht="12.75">
      <c r="AI235" s="250"/>
      <c r="AJ235" s="250"/>
      <c r="AK235" s="250"/>
      <c r="AL235" s="250"/>
      <c r="AM235" s="250"/>
      <c r="AN235" s="250"/>
      <c r="AO235" s="250"/>
      <c r="AP235" s="250"/>
      <c r="AQ235" s="250"/>
      <c r="AR235" s="250"/>
    </row>
    <row r="236" spans="35:44" ht="12.75">
      <c r="AI236" s="250"/>
      <c r="AJ236" s="250"/>
      <c r="AK236" s="250"/>
      <c r="AL236" s="250"/>
      <c r="AM236" s="250"/>
      <c r="AN236" s="250"/>
      <c r="AO236" s="250"/>
      <c r="AP236" s="250"/>
      <c r="AQ236" s="250"/>
      <c r="AR236" s="250"/>
    </row>
    <row r="237" spans="35:44" ht="12.75">
      <c r="AI237" s="250"/>
      <c r="AJ237" s="250"/>
      <c r="AK237" s="250"/>
      <c r="AL237" s="250"/>
      <c r="AM237" s="250"/>
      <c r="AN237" s="250"/>
      <c r="AO237" s="250"/>
      <c r="AP237" s="250"/>
      <c r="AQ237" s="250"/>
      <c r="AR237" s="250"/>
    </row>
    <row r="238" spans="35:44" ht="12.75">
      <c r="AI238" s="250"/>
      <c r="AJ238" s="250"/>
      <c r="AK238" s="250"/>
      <c r="AL238" s="250"/>
      <c r="AM238" s="250"/>
      <c r="AN238" s="250"/>
      <c r="AO238" s="250"/>
      <c r="AP238" s="250"/>
      <c r="AQ238" s="250"/>
      <c r="AR238" s="250"/>
    </row>
    <row r="239" spans="35:44" ht="12.75">
      <c r="AI239" s="250"/>
      <c r="AJ239" s="250"/>
      <c r="AK239" s="250"/>
      <c r="AL239" s="250"/>
      <c r="AM239" s="250"/>
      <c r="AN239" s="250"/>
      <c r="AO239" s="250"/>
      <c r="AP239" s="250"/>
      <c r="AQ239" s="250"/>
      <c r="AR239" s="250"/>
    </row>
    <row r="240" spans="35:44" ht="12.75">
      <c r="AI240" s="250"/>
      <c r="AJ240" s="250"/>
      <c r="AK240" s="250"/>
      <c r="AL240" s="250"/>
      <c r="AM240" s="250"/>
      <c r="AN240" s="250"/>
      <c r="AO240" s="250"/>
      <c r="AP240" s="250"/>
      <c r="AQ240" s="250"/>
      <c r="AR240" s="250"/>
    </row>
    <row r="241" spans="35:44" ht="12.75">
      <c r="AI241" s="250"/>
      <c r="AJ241" s="250"/>
      <c r="AK241" s="250"/>
      <c r="AL241" s="250"/>
      <c r="AM241" s="250"/>
      <c r="AN241" s="250"/>
      <c r="AO241" s="250"/>
      <c r="AP241" s="250"/>
      <c r="AQ241" s="250"/>
      <c r="AR241" s="250"/>
    </row>
    <row r="242" spans="35:44" ht="12.75">
      <c r="AI242" s="250"/>
      <c r="AJ242" s="250"/>
      <c r="AK242" s="250"/>
      <c r="AL242" s="250"/>
      <c r="AM242" s="250"/>
      <c r="AN242" s="250"/>
      <c r="AO242" s="250"/>
      <c r="AP242" s="250"/>
      <c r="AQ242" s="250"/>
      <c r="AR242" s="250"/>
    </row>
    <row r="243" spans="35:44" ht="12.75">
      <c r="AI243" s="250"/>
      <c r="AJ243" s="250"/>
      <c r="AK243" s="250"/>
      <c r="AL243" s="250"/>
      <c r="AM243" s="250"/>
      <c r="AN243" s="250"/>
      <c r="AO243" s="250"/>
      <c r="AP243" s="250"/>
      <c r="AQ243" s="250"/>
      <c r="AR243" s="250"/>
    </row>
    <row r="244" spans="35:44" ht="12.75">
      <c r="AI244" s="250"/>
      <c r="AJ244" s="250"/>
      <c r="AK244" s="250"/>
      <c r="AL244" s="250"/>
      <c r="AM244" s="250"/>
      <c r="AN244" s="250"/>
      <c r="AO244" s="250"/>
      <c r="AP244" s="250"/>
      <c r="AQ244" s="250"/>
      <c r="AR244" s="250"/>
    </row>
    <row r="245" spans="35:44" ht="12.75">
      <c r="AI245" s="250"/>
      <c r="AJ245" s="250"/>
      <c r="AK245" s="250"/>
      <c r="AL245" s="250"/>
      <c r="AM245" s="250"/>
      <c r="AN245" s="250"/>
      <c r="AO245" s="250"/>
      <c r="AP245" s="250"/>
      <c r="AQ245" s="250"/>
      <c r="AR245" s="250"/>
    </row>
    <row r="246" spans="35:44" ht="12.75">
      <c r="AI246" s="250"/>
      <c r="AJ246" s="250"/>
      <c r="AK246" s="250"/>
      <c r="AL246" s="250"/>
      <c r="AM246" s="250"/>
      <c r="AN246" s="250"/>
      <c r="AO246" s="250"/>
      <c r="AP246" s="250"/>
      <c r="AQ246" s="250"/>
      <c r="AR246" s="250"/>
    </row>
    <row r="247" spans="35:44" ht="12.75">
      <c r="AI247" s="250"/>
      <c r="AJ247" s="250"/>
      <c r="AK247" s="250"/>
      <c r="AL247" s="250"/>
      <c r="AM247" s="250"/>
      <c r="AN247" s="250"/>
      <c r="AO247" s="250"/>
      <c r="AP247" s="250"/>
      <c r="AQ247" s="250"/>
      <c r="AR247" s="250"/>
    </row>
    <row r="248" spans="35:44" ht="12.75">
      <c r="AI248" s="250"/>
      <c r="AJ248" s="250"/>
      <c r="AK248" s="250"/>
      <c r="AL248" s="250"/>
      <c r="AM248" s="250"/>
      <c r="AN248" s="250"/>
      <c r="AO248" s="250"/>
      <c r="AP248" s="250"/>
      <c r="AQ248" s="250"/>
      <c r="AR248" s="250"/>
    </row>
    <row r="249" spans="35:44" ht="12.75">
      <c r="AI249" s="250"/>
      <c r="AJ249" s="250"/>
      <c r="AK249" s="250"/>
      <c r="AL249" s="250"/>
      <c r="AM249" s="250"/>
      <c r="AN249" s="250"/>
      <c r="AO249" s="250"/>
      <c r="AP249" s="250"/>
      <c r="AQ249" s="250"/>
      <c r="AR249" s="250"/>
    </row>
    <row r="250" spans="35:44" ht="12.75">
      <c r="AI250" s="250"/>
      <c r="AJ250" s="250"/>
      <c r="AK250" s="250"/>
      <c r="AL250" s="250"/>
      <c r="AM250" s="250"/>
      <c r="AN250" s="250"/>
      <c r="AO250" s="250"/>
      <c r="AP250" s="250"/>
      <c r="AQ250" s="250"/>
      <c r="AR250" s="250"/>
    </row>
    <row r="251" spans="35:44" ht="12.75">
      <c r="AI251" s="250"/>
      <c r="AJ251" s="250"/>
      <c r="AK251" s="250"/>
      <c r="AL251" s="250"/>
      <c r="AM251" s="250"/>
      <c r="AN251" s="250"/>
      <c r="AO251" s="250"/>
      <c r="AP251" s="250"/>
      <c r="AQ251" s="250"/>
      <c r="AR251" s="250"/>
    </row>
    <row r="252" spans="35:44" ht="12.75">
      <c r="AI252" s="250"/>
      <c r="AJ252" s="250"/>
      <c r="AK252" s="250"/>
      <c r="AL252" s="250"/>
      <c r="AM252" s="250"/>
      <c r="AN252" s="250"/>
      <c r="AO252" s="250"/>
      <c r="AP252" s="250"/>
      <c r="AQ252" s="250"/>
      <c r="AR252" s="250"/>
    </row>
    <row r="253" spans="35:44" ht="12.75">
      <c r="AI253" s="250"/>
      <c r="AJ253" s="250"/>
      <c r="AK253" s="250"/>
      <c r="AL253" s="250"/>
      <c r="AM253" s="250"/>
      <c r="AN253" s="250"/>
      <c r="AO253" s="250"/>
      <c r="AP253" s="250"/>
      <c r="AQ253" s="250"/>
      <c r="AR253" s="250"/>
    </row>
    <row r="254" spans="35:44" ht="12.75">
      <c r="AI254" s="250"/>
      <c r="AJ254" s="250"/>
      <c r="AK254" s="250"/>
      <c r="AL254" s="250"/>
      <c r="AM254" s="250"/>
      <c r="AN254" s="250"/>
      <c r="AO254" s="250"/>
      <c r="AP254" s="250"/>
      <c r="AQ254" s="250"/>
      <c r="AR254" s="250"/>
    </row>
    <row r="255" spans="35:44" ht="12.75">
      <c r="AI255" s="250"/>
      <c r="AJ255" s="250"/>
      <c r="AK255" s="250"/>
      <c r="AL255" s="250"/>
      <c r="AM255" s="250"/>
      <c r="AN255" s="250"/>
      <c r="AO255" s="250"/>
      <c r="AP255" s="250"/>
      <c r="AQ255" s="250"/>
      <c r="AR255" s="250"/>
    </row>
    <row r="256" spans="35:44" ht="12.75">
      <c r="AI256" s="250"/>
      <c r="AJ256" s="250"/>
      <c r="AK256" s="250"/>
      <c r="AL256" s="250"/>
      <c r="AM256" s="250"/>
      <c r="AN256" s="250"/>
      <c r="AO256" s="250"/>
      <c r="AP256" s="250"/>
      <c r="AQ256" s="250"/>
      <c r="AR256" s="250"/>
    </row>
    <row r="257" spans="35:44" ht="12.75">
      <c r="AI257" s="250"/>
      <c r="AJ257" s="250"/>
      <c r="AK257" s="250"/>
      <c r="AL257" s="250"/>
      <c r="AM257" s="250"/>
      <c r="AN257" s="250"/>
      <c r="AO257" s="250"/>
      <c r="AP257" s="250"/>
      <c r="AQ257" s="250"/>
      <c r="AR257" s="250"/>
    </row>
    <row r="258" spans="35:44" ht="12.75">
      <c r="AI258" s="250"/>
      <c r="AJ258" s="250"/>
      <c r="AK258" s="250"/>
      <c r="AL258" s="250"/>
      <c r="AM258" s="250"/>
      <c r="AN258" s="250"/>
      <c r="AO258" s="250"/>
      <c r="AP258" s="250"/>
      <c r="AQ258" s="250"/>
      <c r="AR258" s="250"/>
    </row>
    <row r="259" spans="35:44" ht="12.75">
      <c r="AI259" s="250"/>
      <c r="AJ259" s="250"/>
      <c r="AK259" s="250"/>
      <c r="AL259" s="250"/>
      <c r="AM259" s="250"/>
      <c r="AN259" s="250"/>
      <c r="AO259" s="250"/>
      <c r="AP259" s="250"/>
      <c r="AQ259" s="250"/>
      <c r="AR259" s="250"/>
    </row>
    <row r="260" spans="35:44" ht="12.75">
      <c r="AI260" s="250"/>
      <c r="AJ260" s="250"/>
      <c r="AK260" s="250"/>
      <c r="AL260" s="250"/>
      <c r="AM260" s="250"/>
      <c r="AN260" s="250"/>
      <c r="AO260" s="250"/>
      <c r="AP260" s="250"/>
      <c r="AQ260" s="250"/>
      <c r="AR260" s="250"/>
    </row>
    <row r="261" spans="35:44" ht="12.75">
      <c r="AI261" s="250"/>
      <c r="AJ261" s="250"/>
      <c r="AK261" s="250"/>
      <c r="AL261" s="250"/>
      <c r="AM261" s="250"/>
      <c r="AN261" s="250"/>
      <c r="AO261" s="250"/>
      <c r="AP261" s="250"/>
      <c r="AQ261" s="250"/>
      <c r="AR261" s="250"/>
    </row>
    <row r="262" spans="35:44" ht="12.75">
      <c r="AI262" s="250"/>
      <c r="AJ262" s="250"/>
      <c r="AK262" s="250"/>
      <c r="AL262" s="250"/>
      <c r="AM262" s="250"/>
      <c r="AN262" s="250"/>
      <c r="AO262" s="250"/>
      <c r="AP262" s="250"/>
      <c r="AQ262" s="250"/>
      <c r="AR262" s="250"/>
    </row>
    <row r="263" spans="35:44" ht="12.75">
      <c r="AI263" s="250"/>
      <c r="AJ263" s="250"/>
      <c r="AK263" s="250"/>
      <c r="AL263" s="250"/>
      <c r="AM263" s="250"/>
      <c r="AN263" s="250"/>
      <c r="AO263" s="250"/>
      <c r="AP263" s="250"/>
      <c r="AQ263" s="250"/>
      <c r="AR263" s="250"/>
    </row>
    <row r="264" spans="35:44" ht="12.75">
      <c r="AI264" s="250"/>
      <c r="AJ264" s="250"/>
      <c r="AK264" s="250"/>
      <c r="AL264" s="250"/>
      <c r="AM264" s="250"/>
      <c r="AN264" s="250"/>
      <c r="AO264" s="250"/>
      <c r="AP264" s="250"/>
      <c r="AQ264" s="250"/>
      <c r="AR264" s="250"/>
    </row>
    <row r="265" spans="35:44" ht="12.75">
      <c r="AI265" s="250"/>
      <c r="AJ265" s="250"/>
      <c r="AK265" s="250"/>
      <c r="AL265" s="250"/>
      <c r="AM265" s="250"/>
      <c r="AN265" s="250"/>
      <c r="AO265" s="250"/>
      <c r="AP265" s="250"/>
      <c r="AQ265" s="250"/>
      <c r="AR265" s="250"/>
    </row>
    <row r="266" spans="35:44" ht="12.75">
      <c r="AI266" s="250"/>
      <c r="AJ266" s="250"/>
      <c r="AK266" s="250"/>
      <c r="AL266" s="250"/>
      <c r="AM266" s="250"/>
      <c r="AN266" s="250"/>
      <c r="AO266" s="250"/>
      <c r="AP266" s="250"/>
      <c r="AQ266" s="250"/>
      <c r="AR266" s="250"/>
    </row>
    <row r="267" spans="35:44" ht="12.75">
      <c r="AI267" s="250"/>
      <c r="AJ267" s="250"/>
      <c r="AK267" s="250"/>
      <c r="AL267" s="250"/>
      <c r="AM267" s="250"/>
      <c r="AN267" s="250"/>
      <c r="AO267" s="250"/>
      <c r="AP267" s="250"/>
      <c r="AQ267" s="250"/>
      <c r="AR267" s="250"/>
    </row>
    <row r="268" spans="35:44" ht="12.75">
      <c r="AI268" s="250"/>
      <c r="AJ268" s="250"/>
      <c r="AK268" s="250"/>
      <c r="AL268" s="250"/>
      <c r="AM268" s="250"/>
      <c r="AN268" s="250"/>
      <c r="AO268" s="250"/>
      <c r="AP268" s="250"/>
      <c r="AQ268" s="250"/>
      <c r="AR268" s="250"/>
    </row>
    <row r="269" spans="35:44" ht="12.75">
      <c r="AI269" s="250"/>
      <c r="AJ269" s="250"/>
      <c r="AK269" s="250"/>
      <c r="AL269" s="250"/>
      <c r="AM269" s="250"/>
      <c r="AN269" s="250"/>
      <c r="AO269" s="250"/>
      <c r="AP269" s="250"/>
      <c r="AQ269" s="250"/>
      <c r="AR269" s="250"/>
    </row>
    <row r="270" spans="35:44" ht="12.75">
      <c r="AI270" s="250"/>
      <c r="AJ270" s="250"/>
      <c r="AK270" s="250"/>
      <c r="AL270" s="250"/>
      <c r="AM270" s="250"/>
      <c r="AN270" s="250"/>
      <c r="AO270" s="250"/>
      <c r="AP270" s="250"/>
      <c r="AQ270" s="250"/>
      <c r="AR270" s="250"/>
    </row>
    <row r="271" spans="35:44" ht="12.75">
      <c r="AI271" s="250"/>
      <c r="AJ271" s="250"/>
      <c r="AK271" s="250"/>
      <c r="AL271" s="250"/>
      <c r="AM271" s="250"/>
      <c r="AN271" s="250"/>
      <c r="AO271" s="250"/>
      <c r="AP271" s="250"/>
      <c r="AQ271" s="250"/>
      <c r="AR271" s="250"/>
    </row>
    <row r="272" spans="35:44" ht="12.75">
      <c r="AI272" s="250"/>
      <c r="AJ272" s="250"/>
      <c r="AK272" s="250"/>
      <c r="AL272" s="250"/>
      <c r="AM272" s="250"/>
      <c r="AN272" s="250"/>
      <c r="AO272" s="250"/>
      <c r="AP272" s="250"/>
      <c r="AQ272" s="250"/>
      <c r="AR272" s="250"/>
    </row>
    <row r="273" spans="35:44" ht="12.75">
      <c r="AI273" s="250"/>
      <c r="AJ273" s="250"/>
      <c r="AK273" s="250"/>
      <c r="AL273" s="250"/>
      <c r="AM273" s="250"/>
      <c r="AN273" s="250"/>
      <c r="AO273" s="250"/>
      <c r="AP273" s="250"/>
      <c r="AQ273" s="250"/>
      <c r="AR273" s="250"/>
    </row>
    <row r="274" spans="35:44" ht="12.75">
      <c r="AI274" s="250"/>
      <c r="AJ274" s="250"/>
      <c r="AK274" s="250"/>
      <c r="AL274" s="250"/>
      <c r="AM274" s="250"/>
      <c r="AN274" s="250"/>
      <c r="AO274" s="250"/>
      <c r="AP274" s="250"/>
      <c r="AQ274" s="250"/>
      <c r="AR274" s="250"/>
    </row>
    <row r="275" spans="35:44" ht="12.75">
      <c r="AI275" s="250"/>
      <c r="AJ275" s="250"/>
      <c r="AK275" s="250"/>
      <c r="AL275" s="250"/>
      <c r="AM275" s="250"/>
      <c r="AN275" s="250"/>
      <c r="AO275" s="250"/>
      <c r="AP275" s="250"/>
      <c r="AQ275" s="250"/>
      <c r="AR275" s="250"/>
    </row>
    <row r="276" spans="35:44" ht="12.75">
      <c r="AI276" s="250"/>
      <c r="AJ276" s="250"/>
      <c r="AK276" s="250"/>
      <c r="AL276" s="250"/>
      <c r="AM276" s="250"/>
      <c r="AN276" s="250"/>
      <c r="AO276" s="250"/>
      <c r="AP276" s="250"/>
      <c r="AQ276" s="250"/>
      <c r="AR276" s="250"/>
    </row>
    <row r="277" spans="35:44" ht="12.75">
      <c r="AI277" s="250"/>
      <c r="AJ277" s="250"/>
      <c r="AK277" s="250"/>
      <c r="AL277" s="250"/>
      <c r="AM277" s="250"/>
      <c r="AN277" s="250"/>
      <c r="AO277" s="250"/>
      <c r="AP277" s="250"/>
      <c r="AQ277" s="250"/>
      <c r="AR277" s="250"/>
    </row>
    <row r="278" spans="35:44" ht="12.75">
      <c r="AI278" s="250"/>
      <c r="AJ278" s="250"/>
      <c r="AK278" s="250"/>
      <c r="AL278" s="250"/>
      <c r="AM278" s="250"/>
      <c r="AN278" s="250"/>
      <c r="AO278" s="250"/>
      <c r="AP278" s="250"/>
      <c r="AQ278" s="250"/>
      <c r="AR278" s="250"/>
    </row>
    <row r="279" spans="35:44" ht="12.75">
      <c r="AI279" s="250"/>
      <c r="AJ279" s="250"/>
      <c r="AK279" s="250"/>
      <c r="AL279" s="250"/>
      <c r="AM279" s="250"/>
      <c r="AN279" s="250"/>
      <c r="AO279" s="250"/>
      <c r="AP279" s="250"/>
      <c r="AQ279" s="250"/>
      <c r="AR279" s="250"/>
    </row>
    <row r="280" spans="35:44" ht="12.75">
      <c r="AI280" s="250"/>
      <c r="AJ280" s="250"/>
      <c r="AK280" s="250"/>
      <c r="AL280" s="250"/>
      <c r="AM280" s="250"/>
      <c r="AN280" s="250"/>
      <c r="AO280" s="250"/>
      <c r="AP280" s="250"/>
      <c r="AQ280" s="250"/>
      <c r="AR280" s="250"/>
    </row>
    <row r="281" spans="35:44" ht="12.75">
      <c r="AI281" s="250"/>
      <c r="AJ281" s="250"/>
      <c r="AK281" s="250"/>
      <c r="AL281" s="250"/>
      <c r="AM281" s="250"/>
      <c r="AN281" s="250"/>
      <c r="AO281" s="250"/>
      <c r="AP281" s="250"/>
      <c r="AQ281" s="250"/>
      <c r="AR281" s="250"/>
    </row>
    <row r="282" spans="35:44" ht="12.75">
      <c r="AI282" s="250"/>
      <c r="AJ282" s="250"/>
      <c r="AK282" s="250"/>
      <c r="AL282" s="250"/>
      <c r="AM282" s="250"/>
      <c r="AN282" s="250"/>
      <c r="AO282" s="250"/>
      <c r="AP282" s="250"/>
      <c r="AQ282" s="250"/>
      <c r="AR282" s="250"/>
    </row>
    <row r="283" spans="35:44" ht="12.75">
      <c r="AI283" s="250"/>
      <c r="AJ283" s="250"/>
      <c r="AK283" s="250"/>
      <c r="AL283" s="250"/>
      <c r="AM283" s="250"/>
      <c r="AN283" s="250"/>
      <c r="AO283" s="250"/>
      <c r="AP283" s="250"/>
      <c r="AQ283" s="250"/>
      <c r="AR283" s="250"/>
    </row>
    <row r="284" spans="35:44" ht="12.75">
      <c r="AI284" s="250"/>
      <c r="AJ284" s="250"/>
      <c r="AK284" s="250"/>
      <c r="AL284" s="250"/>
      <c r="AM284" s="250"/>
      <c r="AN284" s="250"/>
      <c r="AO284" s="250"/>
      <c r="AP284" s="250"/>
      <c r="AQ284" s="250"/>
      <c r="AR284" s="250"/>
    </row>
    <row r="285" spans="35:44" ht="12.75">
      <c r="AI285" s="250"/>
      <c r="AJ285" s="250"/>
      <c r="AK285" s="250"/>
      <c r="AL285" s="250"/>
      <c r="AM285" s="250"/>
      <c r="AN285" s="250"/>
      <c r="AO285" s="250"/>
      <c r="AP285" s="250"/>
      <c r="AQ285" s="250"/>
      <c r="AR285" s="250"/>
    </row>
    <row r="286" spans="35:44" ht="12.75">
      <c r="AI286" s="250"/>
      <c r="AJ286" s="250"/>
      <c r="AK286" s="250"/>
      <c r="AL286" s="250"/>
      <c r="AM286" s="250"/>
      <c r="AN286" s="250"/>
      <c r="AO286" s="250"/>
      <c r="AP286" s="250"/>
      <c r="AQ286" s="250"/>
      <c r="AR286" s="250"/>
    </row>
    <row r="287" spans="35:44" ht="12.75">
      <c r="AI287" s="250"/>
      <c r="AJ287" s="250"/>
      <c r="AK287" s="250"/>
      <c r="AL287" s="250"/>
      <c r="AM287" s="250"/>
      <c r="AN287" s="250"/>
      <c r="AO287" s="250"/>
      <c r="AP287" s="250"/>
      <c r="AQ287" s="250"/>
      <c r="AR287" s="250"/>
    </row>
    <row r="288" spans="35:44" ht="12.75">
      <c r="AI288" s="250"/>
      <c r="AJ288" s="250"/>
      <c r="AK288" s="250"/>
      <c r="AL288" s="250"/>
      <c r="AM288" s="250"/>
      <c r="AN288" s="250"/>
      <c r="AO288" s="250"/>
      <c r="AP288" s="250"/>
      <c r="AQ288" s="250"/>
      <c r="AR288" s="250"/>
    </row>
    <row r="289" spans="35:44" ht="12.75">
      <c r="AI289" s="250"/>
      <c r="AJ289" s="250"/>
      <c r="AK289" s="250"/>
      <c r="AL289" s="250"/>
      <c r="AM289" s="250"/>
      <c r="AN289" s="250"/>
      <c r="AO289" s="250"/>
      <c r="AP289" s="250"/>
      <c r="AQ289" s="250"/>
      <c r="AR289" s="250"/>
    </row>
    <row r="290" spans="35:44" ht="12.75">
      <c r="AI290" s="250"/>
      <c r="AJ290" s="250"/>
      <c r="AK290" s="250"/>
      <c r="AL290" s="250"/>
      <c r="AM290" s="250"/>
      <c r="AN290" s="250"/>
      <c r="AO290" s="250"/>
      <c r="AP290" s="250"/>
      <c r="AQ290" s="250"/>
      <c r="AR290" s="250"/>
    </row>
    <row r="291" spans="35:44" ht="12.75">
      <c r="AI291" s="250"/>
      <c r="AJ291" s="250"/>
      <c r="AK291" s="250"/>
      <c r="AL291" s="250"/>
      <c r="AM291" s="250"/>
      <c r="AN291" s="250"/>
      <c r="AO291" s="250"/>
      <c r="AP291" s="250"/>
      <c r="AQ291" s="250"/>
      <c r="AR291" s="250"/>
    </row>
    <row r="292" spans="35:44" ht="12.75">
      <c r="AI292" s="250"/>
      <c r="AJ292" s="250"/>
      <c r="AK292" s="250"/>
      <c r="AL292" s="250"/>
      <c r="AM292" s="250"/>
      <c r="AN292" s="250"/>
      <c r="AO292" s="250"/>
      <c r="AP292" s="250"/>
      <c r="AQ292" s="250"/>
      <c r="AR292" s="250"/>
    </row>
    <row r="293" spans="35:44" ht="12.75">
      <c r="AI293" s="250"/>
      <c r="AJ293" s="250"/>
      <c r="AK293" s="250"/>
      <c r="AL293" s="250"/>
      <c r="AM293" s="250"/>
      <c r="AN293" s="250"/>
      <c r="AO293" s="250"/>
      <c r="AP293" s="250"/>
      <c r="AQ293" s="250"/>
      <c r="AR293" s="250"/>
    </row>
    <row r="294" spans="35:44" ht="12.75">
      <c r="AI294" s="250"/>
      <c r="AJ294" s="250"/>
      <c r="AK294" s="250"/>
      <c r="AL294" s="250"/>
      <c r="AM294" s="250"/>
      <c r="AN294" s="250"/>
      <c r="AO294" s="250"/>
      <c r="AP294" s="250"/>
      <c r="AQ294" s="250"/>
      <c r="AR294" s="250"/>
    </row>
    <row r="295" spans="35:44" ht="12.75">
      <c r="AI295" s="250"/>
      <c r="AJ295" s="250"/>
      <c r="AK295" s="250"/>
      <c r="AL295" s="250"/>
      <c r="AM295" s="250"/>
      <c r="AN295" s="250"/>
      <c r="AO295" s="250"/>
      <c r="AP295" s="250"/>
      <c r="AQ295" s="250"/>
      <c r="AR295" s="250"/>
    </row>
    <row r="296" spans="35:44" ht="12.75">
      <c r="AI296" s="250"/>
      <c r="AJ296" s="250"/>
      <c r="AK296" s="250"/>
      <c r="AL296" s="250"/>
      <c r="AM296" s="250"/>
      <c r="AN296" s="250"/>
      <c r="AO296" s="250"/>
      <c r="AP296" s="250"/>
      <c r="AQ296" s="250"/>
      <c r="AR296" s="250"/>
    </row>
    <row r="297" spans="35:44" ht="12.75">
      <c r="AI297" s="250"/>
      <c r="AJ297" s="250"/>
      <c r="AK297" s="250"/>
      <c r="AL297" s="250"/>
      <c r="AM297" s="250"/>
      <c r="AN297" s="250"/>
      <c r="AO297" s="250"/>
      <c r="AP297" s="250"/>
      <c r="AQ297" s="250"/>
      <c r="AR297" s="250"/>
    </row>
    <row r="298" spans="35:44" ht="12.75">
      <c r="AI298" s="250"/>
      <c r="AJ298" s="250"/>
      <c r="AK298" s="250"/>
      <c r="AL298" s="250"/>
      <c r="AM298" s="250"/>
      <c r="AN298" s="250"/>
      <c r="AO298" s="250"/>
      <c r="AP298" s="250"/>
      <c r="AQ298" s="250"/>
      <c r="AR298" s="250"/>
    </row>
    <row r="299" spans="35:44" ht="12.75">
      <c r="AI299" s="250"/>
      <c r="AJ299" s="250"/>
      <c r="AK299" s="250"/>
      <c r="AL299" s="250"/>
      <c r="AM299" s="250"/>
      <c r="AN299" s="250"/>
      <c r="AO299" s="250"/>
      <c r="AP299" s="250"/>
      <c r="AQ299" s="250"/>
      <c r="AR299" s="250"/>
    </row>
    <row r="300" spans="35:44" ht="12.75">
      <c r="AI300" s="250"/>
      <c r="AJ300" s="250"/>
      <c r="AK300" s="250"/>
      <c r="AL300" s="250"/>
      <c r="AM300" s="250"/>
      <c r="AN300" s="250"/>
      <c r="AO300" s="250"/>
      <c r="AP300" s="250"/>
      <c r="AQ300" s="250"/>
      <c r="AR300" s="250"/>
    </row>
    <row r="301" spans="35:44" ht="12.75">
      <c r="AI301" s="250"/>
      <c r="AJ301" s="250"/>
      <c r="AK301" s="250"/>
      <c r="AL301" s="250"/>
      <c r="AM301" s="250"/>
      <c r="AN301" s="250"/>
      <c r="AO301" s="250"/>
      <c r="AP301" s="250"/>
      <c r="AQ301" s="250"/>
      <c r="AR301" s="250"/>
    </row>
    <row r="302" spans="35:44" ht="12.75">
      <c r="AI302" s="250"/>
      <c r="AJ302" s="250"/>
      <c r="AK302" s="250"/>
      <c r="AL302" s="250"/>
      <c r="AM302" s="250"/>
      <c r="AN302" s="250"/>
      <c r="AO302" s="250"/>
      <c r="AP302" s="250"/>
      <c r="AQ302" s="250"/>
      <c r="AR302" s="250"/>
    </row>
    <row r="303" spans="35:44" ht="12.75">
      <c r="AI303" s="250"/>
      <c r="AJ303" s="250"/>
      <c r="AK303" s="250"/>
      <c r="AL303" s="250"/>
      <c r="AM303" s="250"/>
      <c r="AN303" s="250"/>
      <c r="AO303" s="250"/>
      <c r="AP303" s="250"/>
      <c r="AQ303" s="250"/>
      <c r="AR303" s="250"/>
    </row>
    <row r="304" spans="35:44" ht="12.75">
      <c r="AI304" s="250"/>
      <c r="AJ304" s="250"/>
      <c r="AK304" s="250"/>
      <c r="AL304" s="250"/>
      <c r="AM304" s="250"/>
      <c r="AN304" s="250"/>
      <c r="AO304" s="250"/>
      <c r="AP304" s="250"/>
      <c r="AQ304" s="250"/>
      <c r="AR304" s="250"/>
    </row>
    <row r="305" spans="35:44" ht="12.75">
      <c r="AI305" s="250"/>
      <c r="AJ305" s="250"/>
      <c r="AK305" s="250"/>
      <c r="AL305" s="250"/>
      <c r="AM305" s="250"/>
      <c r="AN305" s="250"/>
      <c r="AO305" s="250"/>
      <c r="AP305" s="250"/>
      <c r="AQ305" s="250"/>
      <c r="AR305" s="250"/>
    </row>
    <row r="306" spans="35:44" ht="12.75">
      <c r="AI306" s="250"/>
      <c r="AJ306" s="250"/>
      <c r="AK306" s="250"/>
      <c r="AL306" s="250"/>
      <c r="AM306" s="250"/>
      <c r="AN306" s="250"/>
      <c r="AO306" s="250"/>
      <c r="AP306" s="250"/>
      <c r="AQ306" s="250"/>
      <c r="AR306" s="250"/>
    </row>
    <row r="307" spans="35:44" ht="12.75">
      <c r="AI307" s="250"/>
      <c r="AJ307" s="250"/>
      <c r="AK307" s="250"/>
      <c r="AL307" s="250"/>
      <c r="AM307" s="250"/>
      <c r="AN307" s="250"/>
      <c r="AO307" s="250"/>
      <c r="AP307" s="250"/>
      <c r="AQ307" s="250"/>
      <c r="AR307" s="250"/>
    </row>
    <row r="308" spans="35:44" ht="12.75">
      <c r="AI308" s="250"/>
      <c r="AJ308" s="250"/>
      <c r="AK308" s="250"/>
      <c r="AL308" s="250"/>
      <c r="AM308" s="250"/>
      <c r="AN308" s="250"/>
      <c r="AO308" s="250"/>
      <c r="AP308" s="250"/>
      <c r="AQ308" s="250"/>
      <c r="AR308" s="250"/>
    </row>
    <row r="309" spans="35:44" ht="12.75">
      <c r="AI309" s="250"/>
      <c r="AJ309" s="250"/>
      <c r="AK309" s="250"/>
      <c r="AL309" s="250"/>
      <c r="AM309" s="250"/>
      <c r="AN309" s="250"/>
      <c r="AO309" s="250"/>
      <c r="AP309" s="250"/>
      <c r="AQ309" s="250"/>
      <c r="AR309" s="250"/>
    </row>
    <row r="310" spans="35:44" ht="12.75">
      <c r="AI310" s="250"/>
      <c r="AJ310" s="250"/>
      <c r="AK310" s="250"/>
      <c r="AL310" s="250"/>
      <c r="AM310" s="250"/>
      <c r="AN310" s="250"/>
      <c r="AO310" s="250"/>
      <c r="AP310" s="250"/>
      <c r="AQ310" s="250"/>
      <c r="AR310" s="250"/>
    </row>
    <row r="311" spans="35:44" ht="12.75">
      <c r="AI311" s="250"/>
      <c r="AJ311" s="250"/>
      <c r="AK311" s="250"/>
      <c r="AL311" s="250"/>
      <c r="AM311" s="250"/>
      <c r="AN311" s="250"/>
      <c r="AO311" s="250"/>
      <c r="AP311" s="250"/>
      <c r="AQ311" s="250"/>
      <c r="AR311" s="250"/>
    </row>
    <row r="312" spans="35:44" ht="12.75">
      <c r="AI312" s="250"/>
      <c r="AJ312" s="250"/>
      <c r="AK312" s="250"/>
      <c r="AL312" s="250"/>
      <c r="AM312" s="250"/>
      <c r="AN312" s="250"/>
      <c r="AO312" s="250"/>
      <c r="AP312" s="250"/>
      <c r="AQ312" s="250"/>
      <c r="AR312" s="250"/>
    </row>
    <row r="313" spans="35:44" ht="12.75">
      <c r="AI313" s="250"/>
      <c r="AJ313" s="250"/>
      <c r="AK313" s="250"/>
      <c r="AL313" s="250"/>
      <c r="AM313" s="250"/>
      <c r="AN313" s="250"/>
      <c r="AO313" s="250"/>
      <c r="AP313" s="250"/>
      <c r="AQ313" s="250"/>
      <c r="AR313" s="250"/>
    </row>
    <row r="314" spans="35:44" ht="12.75">
      <c r="AI314" s="250"/>
      <c r="AJ314" s="250"/>
      <c r="AK314" s="250"/>
      <c r="AL314" s="250"/>
      <c r="AM314" s="250"/>
      <c r="AN314" s="250"/>
      <c r="AO314" s="250"/>
      <c r="AP314" s="250"/>
      <c r="AQ314" s="250"/>
      <c r="AR314" s="250"/>
    </row>
    <row r="315" spans="35:44" ht="12.75">
      <c r="AI315" s="250"/>
      <c r="AJ315" s="250"/>
      <c r="AK315" s="250"/>
      <c r="AL315" s="250"/>
      <c r="AM315" s="250"/>
      <c r="AN315" s="250"/>
      <c r="AO315" s="250"/>
      <c r="AP315" s="250"/>
      <c r="AQ315" s="250"/>
      <c r="AR315" s="250"/>
    </row>
    <row r="316" spans="35:44" ht="12.75">
      <c r="AI316" s="250"/>
      <c r="AJ316" s="250"/>
      <c r="AK316" s="250"/>
      <c r="AL316" s="250"/>
      <c r="AM316" s="250"/>
      <c r="AN316" s="250"/>
      <c r="AO316" s="250"/>
      <c r="AP316" s="250"/>
      <c r="AQ316" s="250"/>
      <c r="AR316" s="250"/>
    </row>
    <row r="317" spans="35:44" ht="12.75">
      <c r="AI317" s="250"/>
      <c r="AJ317" s="250"/>
      <c r="AK317" s="250"/>
      <c r="AL317" s="250"/>
      <c r="AM317" s="250"/>
      <c r="AN317" s="250"/>
      <c r="AO317" s="250"/>
      <c r="AP317" s="250"/>
      <c r="AQ317" s="250"/>
      <c r="AR317" s="250"/>
    </row>
    <row r="318" spans="35:44" ht="12.75">
      <c r="AI318" s="250"/>
      <c r="AJ318" s="250"/>
      <c r="AK318" s="250"/>
      <c r="AL318" s="250"/>
      <c r="AM318" s="250"/>
      <c r="AN318" s="250"/>
      <c r="AO318" s="250"/>
      <c r="AP318" s="250"/>
      <c r="AQ318" s="250"/>
      <c r="AR318" s="250"/>
    </row>
    <row r="319" spans="35:44" ht="12.75">
      <c r="AI319" s="250"/>
      <c r="AJ319" s="250"/>
      <c r="AK319" s="250"/>
      <c r="AL319" s="250"/>
      <c r="AM319" s="250"/>
      <c r="AN319" s="250"/>
      <c r="AO319" s="250"/>
      <c r="AP319" s="250"/>
      <c r="AQ319" s="250"/>
      <c r="AR319" s="250"/>
    </row>
    <row r="320" spans="35:44" ht="12.75">
      <c r="AI320" s="250"/>
      <c r="AJ320" s="250"/>
      <c r="AK320" s="250"/>
      <c r="AL320" s="250"/>
      <c r="AM320" s="250"/>
      <c r="AN320" s="250"/>
      <c r="AO320" s="250"/>
      <c r="AP320" s="250"/>
      <c r="AQ320" s="250"/>
      <c r="AR320" s="250"/>
    </row>
    <row r="321" spans="35:44" ht="12.75">
      <c r="AI321" s="250"/>
      <c r="AJ321" s="250"/>
      <c r="AK321" s="250"/>
      <c r="AL321" s="250"/>
      <c r="AM321" s="250"/>
      <c r="AN321" s="250"/>
      <c r="AO321" s="250"/>
      <c r="AP321" s="250"/>
      <c r="AQ321" s="250"/>
      <c r="AR321" s="250"/>
    </row>
    <row r="322" spans="35:44" ht="12.75">
      <c r="AI322" s="250"/>
      <c r="AJ322" s="250"/>
      <c r="AK322" s="250"/>
      <c r="AL322" s="250"/>
      <c r="AM322" s="250"/>
      <c r="AN322" s="250"/>
      <c r="AO322" s="250"/>
      <c r="AP322" s="250"/>
      <c r="AQ322" s="250"/>
      <c r="AR322" s="250"/>
    </row>
    <row r="323" spans="35:44" ht="12.75">
      <c r="AI323" s="250"/>
      <c r="AJ323" s="250"/>
      <c r="AK323" s="250"/>
      <c r="AL323" s="250"/>
      <c r="AM323" s="250"/>
      <c r="AN323" s="250"/>
      <c r="AO323" s="250"/>
      <c r="AP323" s="250"/>
      <c r="AQ323" s="250"/>
      <c r="AR323" s="250"/>
    </row>
    <row r="324" spans="35:44" ht="12.75">
      <c r="AI324" s="250"/>
      <c r="AJ324" s="250"/>
      <c r="AK324" s="250"/>
      <c r="AL324" s="250"/>
      <c r="AM324" s="250"/>
      <c r="AN324" s="250"/>
      <c r="AO324" s="250"/>
      <c r="AP324" s="250"/>
      <c r="AQ324" s="250"/>
      <c r="AR324" s="250"/>
    </row>
    <row r="325" spans="35:44" ht="12.75">
      <c r="AI325" s="250"/>
      <c r="AJ325" s="250"/>
      <c r="AK325" s="250"/>
      <c r="AL325" s="250"/>
      <c r="AM325" s="250"/>
      <c r="AN325" s="250"/>
      <c r="AO325" s="250"/>
      <c r="AP325" s="250"/>
      <c r="AQ325" s="250"/>
      <c r="AR325" s="250"/>
    </row>
    <row r="326" spans="35:44" ht="12.75">
      <c r="AI326" s="250"/>
      <c r="AJ326" s="250"/>
      <c r="AK326" s="250"/>
      <c r="AL326" s="250"/>
      <c r="AM326" s="250"/>
      <c r="AN326" s="250"/>
      <c r="AO326" s="250"/>
      <c r="AP326" s="250"/>
      <c r="AQ326" s="250"/>
      <c r="AR326" s="250"/>
    </row>
    <row r="327" spans="35:44" ht="12.75">
      <c r="AI327" s="250"/>
      <c r="AJ327" s="250"/>
      <c r="AK327" s="250"/>
      <c r="AL327" s="250"/>
      <c r="AM327" s="250"/>
      <c r="AN327" s="250"/>
      <c r="AO327" s="250"/>
      <c r="AP327" s="250"/>
      <c r="AQ327" s="250"/>
      <c r="AR327" s="250"/>
    </row>
    <row r="328" spans="35:44" ht="12.75">
      <c r="AI328" s="250"/>
      <c r="AJ328" s="250"/>
      <c r="AK328" s="250"/>
      <c r="AL328" s="250"/>
      <c r="AM328" s="250"/>
      <c r="AN328" s="250"/>
      <c r="AO328" s="250"/>
      <c r="AP328" s="250"/>
      <c r="AQ328" s="250"/>
      <c r="AR328" s="250"/>
    </row>
    <row r="329" spans="35:44" ht="12.75">
      <c r="AI329" s="250"/>
      <c r="AJ329" s="250"/>
      <c r="AK329" s="250"/>
      <c r="AL329" s="250"/>
      <c r="AM329" s="250"/>
      <c r="AN329" s="250"/>
      <c r="AO329" s="250"/>
      <c r="AP329" s="250"/>
      <c r="AQ329" s="250"/>
      <c r="AR329" s="250"/>
    </row>
    <row r="330" spans="35:44" ht="12.75">
      <c r="AI330" s="250"/>
      <c r="AJ330" s="250"/>
      <c r="AK330" s="250"/>
      <c r="AL330" s="250"/>
      <c r="AM330" s="250"/>
      <c r="AN330" s="250"/>
      <c r="AO330" s="250"/>
      <c r="AP330" s="250"/>
      <c r="AQ330" s="250"/>
      <c r="AR330" s="250"/>
    </row>
    <row r="331" spans="35:44" ht="12.75">
      <c r="AI331" s="250"/>
      <c r="AJ331" s="250"/>
      <c r="AK331" s="250"/>
      <c r="AL331" s="250"/>
      <c r="AM331" s="250"/>
      <c r="AN331" s="250"/>
      <c r="AO331" s="250"/>
      <c r="AP331" s="250"/>
      <c r="AQ331" s="250"/>
      <c r="AR331" s="250"/>
    </row>
    <row r="332" spans="35:44" ht="12.75">
      <c r="AI332" s="250"/>
      <c r="AJ332" s="250"/>
      <c r="AK332" s="250"/>
      <c r="AL332" s="250"/>
      <c r="AM332" s="250"/>
      <c r="AN332" s="250"/>
      <c r="AO332" s="250"/>
      <c r="AP332" s="250"/>
      <c r="AQ332" s="250"/>
      <c r="AR332" s="250"/>
    </row>
    <row r="333" spans="35:44" ht="12.75">
      <c r="AI333" s="250"/>
      <c r="AJ333" s="250"/>
      <c r="AK333" s="250"/>
      <c r="AL333" s="250"/>
      <c r="AM333" s="250"/>
      <c r="AN333" s="250"/>
      <c r="AO333" s="250"/>
      <c r="AP333" s="250"/>
      <c r="AQ333" s="250"/>
      <c r="AR333" s="250"/>
    </row>
    <row r="334" spans="35:44" ht="12.75">
      <c r="AI334" s="250"/>
      <c r="AJ334" s="250"/>
      <c r="AK334" s="250"/>
      <c r="AL334" s="250"/>
      <c r="AM334" s="250"/>
      <c r="AN334" s="250"/>
      <c r="AO334" s="250"/>
      <c r="AP334" s="250"/>
      <c r="AQ334" s="250"/>
      <c r="AR334" s="250"/>
    </row>
    <row r="335" spans="35:44" ht="12.75">
      <c r="AI335" s="250"/>
      <c r="AJ335" s="250"/>
      <c r="AK335" s="250"/>
      <c r="AL335" s="250"/>
      <c r="AM335" s="250"/>
      <c r="AN335" s="250"/>
      <c r="AO335" s="250"/>
      <c r="AP335" s="250"/>
      <c r="AQ335" s="250"/>
      <c r="AR335" s="250"/>
    </row>
    <row r="336" spans="35:44" ht="12.75">
      <c r="AI336" s="250"/>
      <c r="AJ336" s="250"/>
      <c r="AK336" s="250"/>
      <c r="AL336" s="250"/>
      <c r="AM336" s="250"/>
      <c r="AN336" s="250"/>
      <c r="AO336" s="250"/>
      <c r="AP336" s="250"/>
      <c r="AQ336" s="250"/>
      <c r="AR336" s="250"/>
    </row>
    <row r="337" spans="35:44" ht="12.75">
      <c r="AI337" s="250"/>
      <c r="AJ337" s="250"/>
      <c r="AK337" s="250"/>
      <c r="AL337" s="250"/>
      <c r="AM337" s="250"/>
      <c r="AN337" s="250"/>
      <c r="AO337" s="250"/>
      <c r="AP337" s="250"/>
      <c r="AQ337" s="250"/>
      <c r="AR337" s="250"/>
    </row>
    <row r="338" spans="35:44" ht="12.75">
      <c r="AI338" s="250"/>
      <c r="AJ338" s="250"/>
      <c r="AK338" s="250"/>
      <c r="AL338" s="250"/>
      <c r="AM338" s="250"/>
      <c r="AN338" s="250"/>
      <c r="AO338" s="250"/>
      <c r="AP338" s="250"/>
      <c r="AQ338" s="250"/>
      <c r="AR338" s="250"/>
    </row>
    <row r="339" spans="35:44" ht="12.75">
      <c r="AI339" s="250"/>
      <c r="AJ339" s="250"/>
      <c r="AK339" s="250"/>
      <c r="AL339" s="250"/>
      <c r="AM339" s="250"/>
      <c r="AN339" s="250"/>
      <c r="AO339" s="250"/>
      <c r="AP339" s="250"/>
      <c r="AQ339" s="250"/>
      <c r="AR339" s="250"/>
    </row>
    <row r="340" spans="35:44" ht="12.75">
      <c r="AI340" s="250"/>
      <c r="AJ340" s="250"/>
      <c r="AK340" s="250"/>
      <c r="AL340" s="250"/>
      <c r="AM340" s="250"/>
      <c r="AN340" s="250"/>
      <c r="AO340" s="250"/>
      <c r="AP340" s="250"/>
      <c r="AQ340" s="250"/>
      <c r="AR340" s="250"/>
    </row>
    <row r="341" spans="35:44" ht="12.75">
      <c r="AI341" s="250"/>
      <c r="AJ341" s="250"/>
      <c r="AK341" s="250"/>
      <c r="AL341" s="250"/>
      <c r="AM341" s="250"/>
      <c r="AN341" s="250"/>
      <c r="AO341" s="250"/>
      <c r="AP341" s="250"/>
      <c r="AQ341" s="250"/>
      <c r="AR341" s="250"/>
    </row>
    <row r="342" spans="35:44" ht="12.75">
      <c r="AI342" s="250"/>
      <c r="AJ342" s="250"/>
      <c r="AK342" s="250"/>
      <c r="AL342" s="250"/>
      <c r="AM342" s="250"/>
      <c r="AN342" s="250"/>
      <c r="AO342" s="250"/>
      <c r="AP342" s="250"/>
      <c r="AQ342" s="250"/>
      <c r="AR342" s="250"/>
    </row>
    <row r="343" spans="35:44" ht="12.75">
      <c r="AI343" s="250"/>
      <c r="AJ343" s="250"/>
      <c r="AK343" s="250"/>
      <c r="AL343" s="250"/>
      <c r="AM343" s="250"/>
      <c r="AN343" s="250"/>
      <c r="AO343" s="250"/>
      <c r="AP343" s="250"/>
      <c r="AQ343" s="250"/>
      <c r="AR343" s="250"/>
    </row>
    <row r="344" spans="35:44" ht="12.75">
      <c r="AI344" s="250"/>
      <c r="AJ344" s="250"/>
      <c r="AK344" s="250"/>
      <c r="AL344" s="250"/>
      <c r="AM344" s="250"/>
      <c r="AN344" s="250"/>
      <c r="AO344" s="250"/>
      <c r="AP344" s="250"/>
      <c r="AQ344" s="250"/>
      <c r="AR344" s="250"/>
    </row>
    <row r="345" spans="35:44" ht="12.75">
      <c r="AI345" s="250"/>
      <c r="AJ345" s="250"/>
      <c r="AK345" s="250"/>
      <c r="AL345" s="250"/>
      <c r="AM345" s="250"/>
      <c r="AN345" s="250"/>
      <c r="AO345" s="250"/>
      <c r="AP345" s="250"/>
      <c r="AQ345" s="250"/>
      <c r="AR345" s="250"/>
    </row>
    <row r="346" spans="35:44" ht="12.75">
      <c r="AI346" s="250"/>
      <c r="AJ346" s="250"/>
      <c r="AK346" s="250"/>
      <c r="AL346" s="250"/>
      <c r="AM346" s="250"/>
      <c r="AN346" s="250"/>
      <c r="AO346" s="250"/>
      <c r="AP346" s="250"/>
      <c r="AQ346" s="250"/>
      <c r="AR346" s="250"/>
    </row>
    <row r="347" spans="35:44" ht="12.75">
      <c r="AI347" s="250"/>
      <c r="AJ347" s="250"/>
      <c r="AK347" s="250"/>
      <c r="AL347" s="250"/>
      <c r="AM347" s="250"/>
      <c r="AN347" s="250"/>
      <c r="AO347" s="250"/>
      <c r="AP347" s="250"/>
      <c r="AQ347" s="250"/>
      <c r="AR347" s="250"/>
    </row>
  </sheetData>
  <sheetProtection/>
  <mergeCells count="39">
    <mergeCell ref="S5:T5"/>
    <mergeCell ref="T27:T28"/>
    <mergeCell ref="U27:U28"/>
    <mergeCell ref="R33:U34"/>
    <mergeCell ref="U14:U15"/>
    <mergeCell ref="U16:U17"/>
    <mergeCell ref="U18:U19"/>
    <mergeCell ref="T20:T21"/>
    <mergeCell ref="U20:U21"/>
    <mergeCell ref="S4:T4"/>
    <mergeCell ref="G3:H3"/>
    <mergeCell ref="N4:O4"/>
    <mergeCell ref="I4:M4"/>
    <mergeCell ref="AA3:AB3"/>
    <mergeCell ref="I3:M3"/>
    <mergeCell ref="G4:H4"/>
    <mergeCell ref="AA4:AB4"/>
    <mergeCell ref="N3:O3"/>
    <mergeCell ref="U3:V3"/>
    <mergeCell ref="L14:L15"/>
    <mergeCell ref="H33:N34"/>
    <mergeCell ref="L18:L19"/>
    <mergeCell ref="L20:L21"/>
    <mergeCell ref="L27:L28"/>
    <mergeCell ref="N27:N28"/>
    <mergeCell ref="N20:N21"/>
    <mergeCell ref="L16:L17"/>
    <mergeCell ref="N14:N15"/>
    <mergeCell ref="N16:N17"/>
    <mergeCell ref="AC19:AE20"/>
    <mergeCell ref="AC3:AE3"/>
    <mergeCell ref="AF3:AG3"/>
    <mergeCell ref="AF4:AG4"/>
    <mergeCell ref="AC4:AE4"/>
    <mergeCell ref="N18:N19"/>
    <mergeCell ref="U4:V4"/>
    <mergeCell ref="Q3:R3"/>
    <mergeCell ref="S3:T3"/>
    <mergeCell ref="Q4:R4"/>
  </mergeCells>
  <printOptions horizontalCentered="1" verticalCentered="1"/>
  <pageMargins left="0.31496062992125984" right="0.2362204724409449" top="0.8267716535433072" bottom="0.708661417322834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W115"/>
  <sheetViews>
    <sheetView zoomScalePageLayoutView="0" workbookViewId="0" topLeftCell="A1">
      <selection activeCell="B10" sqref="B10:C94"/>
    </sheetView>
  </sheetViews>
  <sheetFormatPr defaultColWidth="11.8515625" defaultRowHeight="20.25" customHeight="1"/>
  <cols>
    <col min="1" max="1" width="6.8515625" style="77" customWidth="1"/>
    <col min="2" max="2" width="11.8515625" style="31" hidden="1" customWidth="1"/>
    <col min="3" max="3" width="9.8515625" style="31" hidden="1" customWidth="1"/>
    <col min="4" max="4" width="5.8515625" style="31" hidden="1" customWidth="1"/>
    <col min="5" max="5" width="3.8515625" style="31" customWidth="1"/>
    <col min="6" max="6" width="5.140625" style="79" customWidth="1"/>
    <col min="7" max="7" width="11.7109375" style="310" customWidth="1"/>
    <col min="8" max="9" width="8.28125" style="79" customWidth="1"/>
    <col min="10" max="10" width="8.00390625" style="31" customWidth="1"/>
    <col min="11" max="11" width="5.140625" style="31" customWidth="1"/>
    <col min="12" max="12" width="11.7109375" style="31" customWidth="1"/>
    <col min="13" max="14" width="8.28125" style="31" customWidth="1"/>
    <col min="15" max="15" width="6.57421875" style="31" customWidth="1"/>
    <col min="16" max="16" width="5.140625" style="31" customWidth="1"/>
    <col min="17" max="17" width="11.7109375" style="31" customWidth="1"/>
    <col min="18" max="19" width="8.28125" style="31" customWidth="1"/>
    <col min="20" max="20" width="1.57421875" style="31" customWidth="1"/>
    <col min="21" max="21" width="2.7109375" style="31" customWidth="1"/>
    <col min="22" max="16384" width="11.8515625" style="31" customWidth="1"/>
  </cols>
  <sheetData>
    <row r="2" spans="5:23" ht="20.25" customHeight="1">
      <c r="E2" s="162"/>
      <c r="F2" s="220"/>
      <c r="G2" s="311"/>
      <c r="H2" s="220"/>
      <c r="I2" s="220"/>
      <c r="J2" s="220"/>
      <c r="K2" s="220"/>
      <c r="L2" s="118"/>
      <c r="M2" s="147"/>
      <c r="N2" s="147"/>
      <c r="O2" s="147"/>
      <c r="P2" s="163"/>
      <c r="Q2" s="163"/>
      <c r="R2" s="163"/>
      <c r="S2" s="163"/>
      <c r="T2" s="163"/>
      <c r="U2" s="164"/>
      <c r="V2" s="126"/>
      <c r="W2" s="126"/>
    </row>
    <row r="3" spans="5:23" ht="20.25" customHeight="1">
      <c r="E3" s="1280" t="s">
        <v>274</v>
      </c>
      <c r="F3" s="1223"/>
      <c r="G3" s="1253" t="s">
        <v>1479</v>
      </c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23" t="s">
        <v>1080</v>
      </c>
      <c r="S3" s="1223"/>
      <c r="T3" s="1223"/>
      <c r="U3" s="1263"/>
      <c r="V3" s="126"/>
      <c r="W3" s="126"/>
    </row>
    <row r="4" spans="5:23" ht="20.25" customHeight="1">
      <c r="E4" s="995"/>
      <c r="F4" s="98"/>
      <c r="G4" s="1223" t="s">
        <v>1480</v>
      </c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64">
        <f>MAX(VLOOKUP("TV SAUDE PUBLICA 2 01 30H",RHE,5,FALSE),VLOOKUP("TV SAUDE SUPERIOR 1 01 30H",RHE,5,FALSE))</f>
        <v>41609</v>
      </c>
      <c r="S4" s="1264"/>
      <c r="T4" s="1264"/>
      <c r="U4" s="1265"/>
      <c r="V4" s="126"/>
      <c r="W4" s="126"/>
    </row>
    <row r="5" spans="1:21" ht="9.75" customHeight="1">
      <c r="A5" s="282"/>
      <c r="E5" s="221"/>
      <c r="F5" s="168"/>
      <c r="G5" s="996"/>
      <c r="H5" s="209"/>
      <c r="I5" s="209"/>
      <c r="J5" s="209"/>
      <c r="K5" s="209"/>
      <c r="L5" s="209"/>
      <c r="M5" s="168"/>
      <c r="N5" s="168"/>
      <c r="O5" s="997"/>
      <c r="P5" s="168"/>
      <c r="Q5" s="168"/>
      <c r="R5" s="168"/>
      <c r="S5" s="168"/>
      <c r="T5" s="168"/>
      <c r="U5" s="169"/>
    </row>
    <row r="6" spans="1:21" ht="20.25" customHeight="1">
      <c r="A6" s="282"/>
      <c r="E6" s="70"/>
      <c r="F6" s="131"/>
      <c r="G6" s="314"/>
      <c r="H6" s="131"/>
      <c r="I6" s="131"/>
      <c r="J6" s="29"/>
      <c r="K6" s="29"/>
      <c r="L6" s="29"/>
      <c r="M6" s="29"/>
      <c r="N6" s="29"/>
      <c r="O6" s="29"/>
      <c r="P6" s="29"/>
      <c r="Q6" s="129"/>
      <c r="R6" s="104"/>
      <c r="S6" s="29"/>
      <c r="T6" s="29"/>
      <c r="U6" s="71"/>
    </row>
    <row r="7" spans="1:21" ht="20.25" customHeight="1">
      <c r="A7" s="282"/>
      <c r="E7" s="70"/>
      <c r="F7" s="1172" t="s">
        <v>1481</v>
      </c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212"/>
      <c r="T7" s="29"/>
      <c r="U7" s="71"/>
    </row>
    <row r="8" spans="5:21" ht="20.25" customHeight="1">
      <c r="E8" s="70"/>
      <c r="T8" s="29"/>
      <c r="U8" s="71"/>
    </row>
    <row r="9" spans="5:21" ht="20.25" customHeight="1" thickBot="1">
      <c r="E9" s="70"/>
      <c r="F9" s="998" t="s">
        <v>1698</v>
      </c>
      <c r="G9" s="294" t="s">
        <v>1699</v>
      </c>
      <c r="H9" s="999" t="s">
        <v>722</v>
      </c>
      <c r="I9" s="999" t="s">
        <v>1700</v>
      </c>
      <c r="J9" s="365"/>
      <c r="K9" s="998" t="s">
        <v>1698</v>
      </c>
      <c r="L9" s="294" t="s">
        <v>1699</v>
      </c>
      <c r="M9" s="999" t="s">
        <v>722</v>
      </c>
      <c r="N9" s="999" t="s">
        <v>1700</v>
      </c>
      <c r="O9" s="29"/>
      <c r="P9" s="998" t="s">
        <v>1698</v>
      </c>
      <c r="Q9" s="294" t="s">
        <v>1699</v>
      </c>
      <c r="R9" s="999" t="s">
        <v>722</v>
      </c>
      <c r="S9" s="999" t="s">
        <v>1700</v>
      </c>
      <c r="T9" s="29"/>
      <c r="U9" s="71"/>
    </row>
    <row r="10" spans="2:21" ht="20.25" customHeight="1">
      <c r="B10" s="1000" t="s">
        <v>1482</v>
      </c>
      <c r="C10" s="1001">
        <f>TAB39_DATA_VAL</f>
        <v>41609</v>
      </c>
      <c r="D10" s="1002"/>
      <c r="E10" s="70"/>
      <c r="F10" s="295"/>
      <c r="G10" s="297"/>
      <c r="H10" s="297"/>
      <c r="I10" s="297"/>
      <c r="J10" s="297"/>
      <c r="K10" s="250"/>
      <c r="L10" s="250"/>
      <c r="M10" s="250"/>
      <c r="N10" s="250"/>
      <c r="O10" s="111"/>
      <c r="P10" s="250"/>
      <c r="Q10" s="250"/>
      <c r="R10" s="250"/>
      <c r="S10" s="250"/>
      <c r="T10" s="29"/>
      <c r="U10" s="71"/>
    </row>
    <row r="11" spans="2:21" ht="20.25" customHeight="1">
      <c r="B11" s="1003" t="s">
        <v>281</v>
      </c>
      <c r="C11" s="1004">
        <f aca="true" t="shared" si="0" ref="C11:C22">H11</f>
        <v>841.1</v>
      </c>
      <c r="D11" s="1005"/>
      <c r="E11" s="70"/>
      <c r="F11" s="1006" t="s">
        <v>1409</v>
      </c>
      <c r="G11" s="1007" t="s">
        <v>1483</v>
      </c>
      <c r="H11" s="1140">
        <f>VLOOKUP("TV SAUDE PUBLICA 2 01 30H",RHE,10,FALSE)</f>
        <v>841.1</v>
      </c>
      <c r="I11" s="1008">
        <f>VLOOKUP("TV SAUDE PUBLICA 2 01 30H",RHE,12,FALSE)</f>
        <v>295</v>
      </c>
      <c r="J11" s="366"/>
      <c r="K11" s="1006" t="s">
        <v>1295</v>
      </c>
      <c r="L11" s="1007" t="s">
        <v>1484</v>
      </c>
      <c r="M11" s="1140">
        <f>VLOOKUP("TV SAUDE PUBLICA 2 13 30H",RHE,10,FALSE)</f>
        <v>800.2</v>
      </c>
      <c r="N11" s="1008">
        <f>VLOOKUP("TV SAUDE PUBLICA 2 13 30H",RHE,12,FALSE)</f>
        <v>310</v>
      </c>
      <c r="O11" s="111"/>
      <c r="P11" s="1006" t="s">
        <v>1307</v>
      </c>
      <c r="Q11" s="1007" t="s">
        <v>1485</v>
      </c>
      <c r="R11" s="1140">
        <f>VLOOKUP("TV SAUDE PUBLICA 2 25 30H",RHE,10,FALSE)</f>
        <v>724.15</v>
      </c>
      <c r="S11" s="1008">
        <f>VLOOKUP("TV SAUDE PUBLICA 2 25 30H",RHE,12,FALSE)</f>
        <v>345</v>
      </c>
      <c r="T11" s="29"/>
      <c r="U11" s="71"/>
    </row>
    <row r="12" spans="1:21" ht="20.25" customHeight="1">
      <c r="A12" s="78"/>
      <c r="B12" s="1003" t="s">
        <v>285</v>
      </c>
      <c r="C12" s="1004">
        <f t="shared" si="0"/>
        <v>874.74</v>
      </c>
      <c r="D12" s="1005"/>
      <c r="E12" s="70"/>
      <c r="F12" s="1009" t="s">
        <v>1410</v>
      </c>
      <c r="G12" s="1010" t="s">
        <v>1486</v>
      </c>
      <c r="H12" s="1142">
        <f>VLOOKUP("TV SAUDE PUBLICA 2 02 30H",RHE,10,FALSE)</f>
        <v>874.74</v>
      </c>
      <c r="I12" s="1011">
        <f>VLOOKUP("TV SAUDE PUBLICA 2 02 30H",RHE,12,FALSE)</f>
        <v>283.7</v>
      </c>
      <c r="J12" s="366"/>
      <c r="K12" s="1009" t="s">
        <v>1296</v>
      </c>
      <c r="L12" s="1010" t="s">
        <v>1487</v>
      </c>
      <c r="M12" s="1142">
        <f>VLOOKUP("TV SAUDE PUBLICA 2 14 30H",RHE,10,FALSE)</f>
        <v>832.2</v>
      </c>
      <c r="N12" s="1011">
        <f>VLOOKUP("TV SAUDE PUBLICA 2 14 30H",RHE,12,FALSE)</f>
        <v>298.1</v>
      </c>
      <c r="O12" s="29"/>
      <c r="P12" s="1009" t="s">
        <v>1308</v>
      </c>
      <c r="Q12" s="1010" t="s">
        <v>1488</v>
      </c>
      <c r="R12" s="1142">
        <f>VLOOKUP("TV SAUDE PUBLICA 2 26 30H",RHE,10,FALSE)</f>
        <v>753.11</v>
      </c>
      <c r="S12" s="1011">
        <f>VLOOKUP("TV SAUDE PUBLICA 2 26 30H",RHE,12,FALSE)</f>
        <v>331.8</v>
      </c>
      <c r="T12" s="29"/>
      <c r="U12" s="71"/>
    </row>
    <row r="13" spans="1:21" ht="20.25" customHeight="1">
      <c r="A13" s="78"/>
      <c r="B13" s="1003" t="s">
        <v>289</v>
      </c>
      <c r="C13" s="1004">
        <f t="shared" si="0"/>
        <v>909.73</v>
      </c>
      <c r="D13" s="1005"/>
      <c r="E13" s="70"/>
      <c r="F13" s="1009" t="s">
        <v>1411</v>
      </c>
      <c r="G13" s="1010" t="s">
        <v>1489</v>
      </c>
      <c r="H13" s="1142">
        <f>VLOOKUP("TV SAUDE PUBLICA 2 03 30H",RHE,10,FALSE)</f>
        <v>909.73</v>
      </c>
      <c r="I13" s="1011">
        <f>VLOOKUP("TV SAUDE PUBLICA 2 03 30H",RHE,12,FALSE)</f>
        <v>272.8</v>
      </c>
      <c r="J13" s="366"/>
      <c r="K13" s="1009" t="s">
        <v>1297</v>
      </c>
      <c r="L13" s="1010" t="s">
        <v>1490</v>
      </c>
      <c r="M13" s="1142">
        <f>VLOOKUP("TV SAUDE PUBLICA 2 15 30H",RHE,10,FALSE)</f>
        <v>865.5</v>
      </c>
      <c r="N13" s="1011">
        <f>VLOOKUP("TV SAUDE PUBLICA 2 15 30H",RHE,12,FALSE)</f>
        <v>286.7</v>
      </c>
      <c r="O13" s="131"/>
      <c r="P13" s="1009" t="s">
        <v>1309</v>
      </c>
      <c r="Q13" s="1010" t="s">
        <v>1491</v>
      </c>
      <c r="R13" s="1142">
        <f>VLOOKUP("TV SAUDE PUBLICA 2 27 30H",RHE,10,FALSE)</f>
        <v>783.23</v>
      </c>
      <c r="S13" s="1011">
        <f>VLOOKUP("TV SAUDE PUBLICA 2 27 30H",RHE,12,FALSE)</f>
        <v>319.1</v>
      </c>
      <c r="T13" s="29"/>
      <c r="U13" s="71"/>
    </row>
    <row r="14" spans="1:21" ht="20.25" customHeight="1">
      <c r="A14" s="78"/>
      <c r="B14" s="1003" t="s">
        <v>60</v>
      </c>
      <c r="C14" s="1004">
        <f t="shared" si="0"/>
        <v>946.12</v>
      </c>
      <c r="D14" s="1005"/>
      <c r="E14" s="70"/>
      <c r="F14" s="1009" t="s">
        <v>1412</v>
      </c>
      <c r="G14" s="1010" t="s">
        <v>1492</v>
      </c>
      <c r="H14" s="1142">
        <f>VLOOKUP("TV SAUDE PUBLICA 2 04 30H",RHE,10,FALSE)</f>
        <v>946.12</v>
      </c>
      <c r="I14" s="1011">
        <f>VLOOKUP("TV SAUDE PUBLICA 2 04 30H",RHE,12,FALSE)</f>
        <v>262.4</v>
      </c>
      <c r="J14" s="366"/>
      <c r="K14" s="1009" t="s">
        <v>1298</v>
      </c>
      <c r="L14" s="1010" t="s">
        <v>1493</v>
      </c>
      <c r="M14" s="1142">
        <f>VLOOKUP("TV SAUDE PUBLICA 2 16 30H",RHE,10,FALSE)</f>
        <v>900.11</v>
      </c>
      <c r="N14" s="1011">
        <f>VLOOKUP("TV SAUDE PUBLICA 2 16 30H",RHE,12,FALSE)</f>
        <v>275.7</v>
      </c>
      <c r="O14" s="131"/>
      <c r="P14" s="1009" t="s">
        <v>1310</v>
      </c>
      <c r="Q14" s="1010" t="s">
        <v>1494</v>
      </c>
      <c r="R14" s="1142">
        <f>VLOOKUP("TV SAUDE PUBLICA 2 28 30H",RHE,10,FALSE)</f>
        <v>814.57</v>
      </c>
      <c r="S14" s="1011">
        <f>VLOOKUP("TV SAUDE PUBLICA 2 28 30H",RHE,12,FALSE)</f>
        <v>306.9</v>
      </c>
      <c r="T14" s="29"/>
      <c r="U14" s="71"/>
    </row>
    <row r="15" spans="1:21" ht="20.25" customHeight="1">
      <c r="A15" s="78"/>
      <c r="B15" s="1003" t="s">
        <v>63</v>
      </c>
      <c r="C15" s="1004">
        <f t="shared" si="0"/>
        <v>983.95</v>
      </c>
      <c r="D15" s="1005"/>
      <c r="E15" s="70"/>
      <c r="F15" s="1009" t="s">
        <v>1413</v>
      </c>
      <c r="G15" s="1010" t="s">
        <v>1495</v>
      </c>
      <c r="H15" s="1142">
        <f>VLOOKUP("TV SAUDE PUBLICA 2 05 30H",RHE,10,FALSE)</f>
        <v>983.95</v>
      </c>
      <c r="I15" s="1011">
        <f>VLOOKUP("TV SAUDE PUBLICA 2 05 30H",RHE,12,FALSE)</f>
        <v>252.4</v>
      </c>
      <c r="J15" s="949"/>
      <c r="K15" s="1009" t="s">
        <v>1299</v>
      </c>
      <c r="L15" s="1010" t="s">
        <v>1496</v>
      </c>
      <c r="M15" s="1142">
        <f>VLOOKUP("TV SAUDE PUBLICA 2 17 30H",RHE,10,FALSE)</f>
        <v>936.11</v>
      </c>
      <c r="N15" s="1011">
        <f>VLOOKUP("TV SAUDE PUBLICA 2 17 30H",RHE,12,FALSE)</f>
        <v>265.1</v>
      </c>
      <c r="O15" s="131"/>
      <c r="P15" s="1009" t="s">
        <v>1311</v>
      </c>
      <c r="Q15" s="1010" t="s">
        <v>1497</v>
      </c>
      <c r="R15" s="1142">
        <f>VLOOKUP("TV SAUDE PUBLICA 2 29 30H",RHE,10,FALSE)</f>
        <v>847.15</v>
      </c>
      <c r="S15" s="1011">
        <f>VLOOKUP("TV SAUDE PUBLICA 2 29 30H",RHE,12,FALSE)</f>
        <v>295.1</v>
      </c>
      <c r="T15" s="29"/>
      <c r="U15" s="71"/>
    </row>
    <row r="16" spans="1:21" ht="20.25" customHeight="1">
      <c r="A16" s="78"/>
      <c r="B16" s="1003" t="s">
        <v>863</v>
      </c>
      <c r="C16" s="1004">
        <f t="shared" si="0"/>
        <v>1023.32</v>
      </c>
      <c r="D16" s="1005"/>
      <c r="E16" s="70"/>
      <c r="F16" s="1009" t="s">
        <v>1414</v>
      </c>
      <c r="G16" s="1010" t="s">
        <v>1498</v>
      </c>
      <c r="H16" s="1142">
        <f>VLOOKUP("TV SAUDE PUBLICA 2 06 30H",RHE,10,FALSE)</f>
        <v>1023.32</v>
      </c>
      <c r="I16" s="1011">
        <f>VLOOKUP("TV SAUDE PUBLICA 2 06 30H",RHE,12,FALSE)</f>
        <v>242.7</v>
      </c>
      <c r="J16" s="949"/>
      <c r="K16" s="1009" t="s">
        <v>1300</v>
      </c>
      <c r="L16" s="1010" t="s">
        <v>1499</v>
      </c>
      <c r="M16" s="1142">
        <f>VLOOKUP("TV SAUDE PUBLICA 2 18 30H",RHE,10,FALSE)</f>
        <v>973.56</v>
      </c>
      <c r="N16" s="1011">
        <f>VLOOKUP("TV SAUDE PUBLICA 2 18 30H",RHE,12,FALSE)</f>
        <v>255</v>
      </c>
      <c r="O16" s="131"/>
      <c r="P16" s="1009" t="s">
        <v>1312</v>
      </c>
      <c r="Q16" s="1010" t="s">
        <v>1500</v>
      </c>
      <c r="R16" s="1142">
        <f>VLOOKUP("TV SAUDE PUBLICA 2 30 30H",RHE,10,FALSE)</f>
        <v>881.04</v>
      </c>
      <c r="S16" s="1011">
        <f>VLOOKUP("TV SAUDE PUBLICA 2 30 30H",RHE,12,FALSE)</f>
        <v>283.8</v>
      </c>
      <c r="T16" s="29"/>
      <c r="U16" s="71"/>
    </row>
    <row r="17" spans="1:21" ht="20.25" customHeight="1">
      <c r="A17" s="78"/>
      <c r="B17" s="1003" t="s">
        <v>865</v>
      </c>
      <c r="C17" s="1004">
        <f t="shared" si="0"/>
        <v>1064.25</v>
      </c>
      <c r="D17" s="1005"/>
      <c r="E17" s="70"/>
      <c r="F17" s="1009" t="s">
        <v>1415</v>
      </c>
      <c r="G17" s="1010" t="s">
        <v>1501</v>
      </c>
      <c r="H17" s="1142">
        <f>VLOOKUP("TV SAUDE PUBLICA 2 07 30H",RHE,10,FALSE)</f>
        <v>1064.25</v>
      </c>
      <c r="I17" s="1011">
        <f>VLOOKUP("TV SAUDE PUBLICA 2 07 30H",RHE,12,FALSE)</f>
        <v>233.4</v>
      </c>
      <c r="J17" s="949"/>
      <c r="K17" s="1009" t="s">
        <v>1301</v>
      </c>
      <c r="L17" s="1010" t="s">
        <v>1502</v>
      </c>
      <c r="M17" s="1142">
        <f>VLOOKUP("TV SAUDE PUBLICA 2 19 30H",RHE,10,FALSE)</f>
        <v>1012.5</v>
      </c>
      <c r="N17" s="1011">
        <f>VLOOKUP("TV SAUDE PUBLICA 2 19 30H",RHE,12,FALSE)</f>
        <v>245.2</v>
      </c>
      <c r="O17" s="131"/>
      <c r="P17" s="1009" t="s">
        <v>1313</v>
      </c>
      <c r="Q17" s="1010" t="s">
        <v>1503</v>
      </c>
      <c r="R17" s="1142">
        <f>VLOOKUP("TV SAUDE PUBLICA 2 31 30H",RHE,10,FALSE)</f>
        <v>916.27</v>
      </c>
      <c r="S17" s="1011">
        <f>VLOOKUP("TV SAUDE PUBLICA 2 31 30H",RHE,12,FALSE)</f>
        <v>272.9</v>
      </c>
      <c r="T17" s="29"/>
      <c r="U17" s="71"/>
    </row>
    <row r="18" spans="1:21" ht="20.25" customHeight="1">
      <c r="A18" s="78"/>
      <c r="B18" s="1003" t="s">
        <v>867</v>
      </c>
      <c r="C18" s="1004">
        <f t="shared" si="0"/>
        <v>1106.83</v>
      </c>
      <c r="D18" s="1005"/>
      <c r="E18" s="70"/>
      <c r="F18" s="1009" t="s">
        <v>1416</v>
      </c>
      <c r="G18" s="1010" t="s">
        <v>1504</v>
      </c>
      <c r="H18" s="1142">
        <f>VLOOKUP("TV SAUDE PUBLICA 2 08 30H",RHE,10,FALSE)</f>
        <v>1106.83</v>
      </c>
      <c r="I18" s="1011">
        <f>VLOOKUP("TV SAUDE PUBLICA 2 08 30H",RHE,12,FALSE)</f>
        <v>224.5</v>
      </c>
      <c r="J18" s="949"/>
      <c r="K18" s="1009" t="s">
        <v>1302</v>
      </c>
      <c r="L18" s="1010" t="s">
        <v>1505</v>
      </c>
      <c r="M18" s="1142">
        <f>VLOOKUP("TV SAUDE PUBLICA 2 20 30H",RHE,10,FALSE)</f>
        <v>1053</v>
      </c>
      <c r="N18" s="1011">
        <f>VLOOKUP("TV SAUDE PUBLICA 2 20 30H",RHE,12,FALSE)</f>
        <v>235.8</v>
      </c>
      <c r="O18" s="131"/>
      <c r="P18" s="1009" t="s">
        <v>1314</v>
      </c>
      <c r="Q18" s="1010" t="s">
        <v>1506</v>
      </c>
      <c r="R18" s="1142">
        <f>VLOOKUP("TV SAUDE PUBLICA 2 32 30H",RHE,10,FALSE)</f>
        <v>952.93</v>
      </c>
      <c r="S18" s="1011">
        <f>VLOOKUP("TV SAUDE PUBLICA 2 32 30H",RHE,12,FALSE)</f>
        <v>262.5</v>
      </c>
      <c r="T18" s="29"/>
      <c r="U18" s="71"/>
    </row>
    <row r="19" spans="1:21" ht="20.25" customHeight="1">
      <c r="A19" s="78"/>
      <c r="B19" s="1003" t="s">
        <v>868</v>
      </c>
      <c r="C19" s="1004">
        <f t="shared" si="0"/>
        <v>1151.1</v>
      </c>
      <c r="D19" s="1005"/>
      <c r="E19" s="70"/>
      <c r="F19" s="1009" t="s">
        <v>1417</v>
      </c>
      <c r="G19" s="1010" t="s">
        <v>1507</v>
      </c>
      <c r="H19" s="1142">
        <f>VLOOKUP("TV SAUDE PUBLICA 2 09 30H",RHE,10,FALSE)</f>
        <v>1151.1</v>
      </c>
      <c r="I19" s="1011">
        <f>VLOOKUP("TV SAUDE PUBLICA 2 09 30H",RHE,12,FALSE)</f>
        <v>215.9</v>
      </c>
      <c r="J19" s="949"/>
      <c r="K19" s="1009" t="s">
        <v>1303</v>
      </c>
      <c r="L19" s="1010" t="s">
        <v>1508</v>
      </c>
      <c r="M19" s="1142">
        <f>VLOOKUP("TV SAUDE PUBLICA 2 21 30H",RHE,10,FALSE)</f>
        <v>1095.12</v>
      </c>
      <c r="N19" s="1011">
        <f>VLOOKUP("TV SAUDE PUBLICA 2 21 30H",RHE,12,FALSE)</f>
        <v>226.8</v>
      </c>
      <c r="O19" s="131"/>
      <c r="P19" s="1009" t="s">
        <v>1315</v>
      </c>
      <c r="Q19" s="1010" t="s">
        <v>1509</v>
      </c>
      <c r="R19" s="1142">
        <f>VLOOKUP("TV SAUDE PUBLICA 2 33 30H",RHE,10,FALSE)</f>
        <v>991.06</v>
      </c>
      <c r="S19" s="1011">
        <f>VLOOKUP("TV SAUDE PUBLICA 2 33 30H",RHE,12,FALSE)</f>
        <v>252.5</v>
      </c>
      <c r="T19" s="29"/>
      <c r="U19" s="71"/>
    </row>
    <row r="20" spans="1:21" ht="20.25" customHeight="1">
      <c r="A20" s="78"/>
      <c r="B20" s="1003" t="s">
        <v>869</v>
      </c>
      <c r="C20" s="1004">
        <f t="shared" si="0"/>
        <v>1197.14</v>
      </c>
      <c r="D20" s="1005"/>
      <c r="E20" s="70"/>
      <c r="F20" s="1009" t="s">
        <v>1292</v>
      </c>
      <c r="G20" s="1010" t="s">
        <v>1510</v>
      </c>
      <c r="H20" s="1142">
        <f>VLOOKUP("TV SAUDE PUBLICA 2 10 30H",RHE,10,FALSE)</f>
        <v>1197.14</v>
      </c>
      <c r="I20" s="1011">
        <f>VLOOKUP("TV SAUDE PUBLICA 2 10 30H",RHE,12,FALSE)</f>
        <v>207.6</v>
      </c>
      <c r="J20" s="949"/>
      <c r="K20" s="1009" t="s">
        <v>1304</v>
      </c>
      <c r="L20" s="1010" t="s">
        <v>1511</v>
      </c>
      <c r="M20" s="1142">
        <f>VLOOKUP("TV SAUDE PUBLICA 2 22 30H",RHE,10,FALSE)</f>
        <v>1138.94</v>
      </c>
      <c r="N20" s="1011">
        <f>VLOOKUP("TV SAUDE PUBLICA 2 22 30H",RHE,12,FALSE)</f>
        <v>218.1</v>
      </c>
      <c r="O20" s="131"/>
      <c r="P20" s="1009" t="s">
        <v>1316</v>
      </c>
      <c r="Q20" s="1010" t="s">
        <v>1512</v>
      </c>
      <c r="R20" s="1142">
        <f>VLOOKUP("TV SAUDE PUBLICA 2 34 30H",RHE,10,FALSE)</f>
        <v>1030.69</v>
      </c>
      <c r="S20" s="1011">
        <f>VLOOKUP("TV SAUDE PUBLICA 2 34 30H",RHE,12,FALSE)</f>
        <v>242.8</v>
      </c>
      <c r="T20" s="29"/>
      <c r="U20" s="71"/>
    </row>
    <row r="21" spans="1:21" ht="20.25" customHeight="1">
      <c r="A21" s="78"/>
      <c r="B21" s="1003" t="s">
        <v>708</v>
      </c>
      <c r="C21" s="1004">
        <f t="shared" si="0"/>
        <v>1245.04</v>
      </c>
      <c r="D21" s="1005"/>
      <c r="E21" s="70"/>
      <c r="F21" s="1009" t="s">
        <v>1293</v>
      </c>
      <c r="G21" s="1010" t="s">
        <v>1513</v>
      </c>
      <c r="H21" s="1142">
        <f>VLOOKUP("TV SAUDE PUBLICA 2 11 30H",RHE,10,FALSE)</f>
        <v>1245.04</v>
      </c>
      <c r="I21" s="1011">
        <f>VLOOKUP("TV SAUDE PUBLICA 2 11 30H",RHE,12,FALSE)</f>
        <v>199.7</v>
      </c>
      <c r="J21" s="949"/>
      <c r="K21" s="1009" t="s">
        <v>1305</v>
      </c>
      <c r="L21" s="1010" t="s">
        <v>1514</v>
      </c>
      <c r="M21" s="1142">
        <f>VLOOKUP("TV SAUDE PUBLICA 2 23 30H",RHE,10,FALSE)</f>
        <v>1184.5</v>
      </c>
      <c r="N21" s="1011">
        <f>VLOOKUP("TV SAUDE PUBLICA 2 23 30H",RHE,12,FALSE)</f>
        <v>209.8</v>
      </c>
      <c r="O21" s="131"/>
      <c r="P21" s="1009" t="s">
        <v>1317</v>
      </c>
      <c r="Q21" s="1010" t="s">
        <v>1515</v>
      </c>
      <c r="R21" s="1142">
        <f>VLOOKUP("TV SAUDE PUBLICA 2 35 30H",RHE,10,FALSE)</f>
        <v>1071.92</v>
      </c>
      <c r="S21" s="1011">
        <f>VLOOKUP("TV SAUDE PUBLICA 2 35 30H",RHE,12,FALSE)</f>
        <v>233.5</v>
      </c>
      <c r="T21" s="29"/>
      <c r="U21" s="71"/>
    </row>
    <row r="22" spans="1:21" ht="20.25" customHeight="1">
      <c r="A22" s="78"/>
      <c r="B22" s="1003" t="s">
        <v>709</v>
      </c>
      <c r="C22" s="1004">
        <f t="shared" si="0"/>
        <v>1294.83</v>
      </c>
      <c r="D22" s="1005"/>
      <c r="E22" s="70"/>
      <c r="F22" s="1012" t="s">
        <v>1294</v>
      </c>
      <c r="G22" s="1013" t="s">
        <v>1516</v>
      </c>
      <c r="H22" s="1144">
        <f>VLOOKUP("TV SAUDE PUBLICA 2 12 30H",RHE,10,FALSE)</f>
        <v>1294.83</v>
      </c>
      <c r="I22" s="1014">
        <f>VLOOKUP("TV SAUDE PUBLICA 2 12 30H",RHE,12,FALSE)</f>
        <v>192.1</v>
      </c>
      <c r="J22" s="949"/>
      <c r="K22" s="1012" t="s">
        <v>1306</v>
      </c>
      <c r="L22" s="1013" t="s">
        <v>1517</v>
      </c>
      <c r="M22" s="1144">
        <f>VLOOKUP("TV SAUDE PUBLICA 2 24 30H",RHE,10,FALSE)</f>
        <v>1231.87</v>
      </c>
      <c r="N22" s="1014">
        <f>VLOOKUP("TV SAUDE PUBLICA 2 24 30H",RHE,12,FALSE)</f>
        <v>201.8</v>
      </c>
      <c r="O22" s="30"/>
      <c r="P22" s="1012" t="s">
        <v>1318</v>
      </c>
      <c r="Q22" s="1013" t="s">
        <v>1518</v>
      </c>
      <c r="R22" s="1144">
        <f>VLOOKUP("TV SAUDE PUBLICA 2 36 30H",RHE,10,FALSE)</f>
        <v>1114.8</v>
      </c>
      <c r="S22" s="1014">
        <f>VLOOKUP("TV SAUDE PUBLICA 2 36 30H",RHE,12,FALSE)</f>
        <v>224.6</v>
      </c>
      <c r="T22" s="29"/>
      <c r="U22" s="71"/>
    </row>
    <row r="23" spans="1:21" ht="20.25" customHeight="1">
      <c r="A23" s="78"/>
      <c r="B23" s="1003" t="s">
        <v>84</v>
      </c>
      <c r="C23" s="1004">
        <f aca="true" t="shared" si="1" ref="C23:C34">M11</f>
        <v>800.2</v>
      </c>
      <c r="D23" s="1005"/>
      <c r="E23" s="70"/>
      <c r="H23" s="318"/>
      <c r="I23" s="318"/>
      <c r="J23" s="949"/>
      <c r="K23" s="30"/>
      <c r="L23" s="29"/>
      <c r="M23" s="29"/>
      <c r="N23" s="29"/>
      <c r="O23" s="30"/>
      <c r="P23" s="29"/>
      <c r="Q23" s="30"/>
      <c r="R23" s="29"/>
      <c r="S23" s="29"/>
      <c r="T23" s="29"/>
      <c r="U23" s="71"/>
    </row>
    <row r="24" spans="1:21" ht="20.25" customHeight="1" thickBot="1">
      <c r="A24" s="78"/>
      <c r="B24" s="1003" t="s">
        <v>85</v>
      </c>
      <c r="C24" s="1004">
        <f t="shared" si="1"/>
        <v>832.2</v>
      </c>
      <c r="D24" s="1005"/>
      <c r="E24" s="70"/>
      <c r="H24" s="318"/>
      <c r="I24" s="318"/>
      <c r="J24" s="949"/>
      <c r="K24" s="30"/>
      <c r="L24" s="29"/>
      <c r="M24" s="29"/>
      <c r="N24" s="29"/>
      <c r="O24" s="30"/>
      <c r="P24" s="29"/>
      <c r="Q24" s="30"/>
      <c r="R24" s="29"/>
      <c r="S24" s="29"/>
      <c r="T24" s="29"/>
      <c r="U24" s="71"/>
    </row>
    <row r="25" spans="1:21" ht="20.25" customHeight="1" thickBot="1">
      <c r="A25" s="78"/>
      <c r="B25" s="1003" t="s">
        <v>715</v>
      </c>
      <c r="C25" s="1004">
        <f t="shared" si="1"/>
        <v>865.5</v>
      </c>
      <c r="D25" s="1005"/>
      <c r="E25" s="70"/>
      <c r="G25" s="341"/>
      <c r="H25" s="341"/>
      <c r="I25" s="341"/>
      <c r="J25" s="341"/>
      <c r="K25" s="1576" t="s">
        <v>1519</v>
      </c>
      <c r="L25" s="1577"/>
      <c r="M25" s="1578"/>
      <c r="N25" s="341"/>
      <c r="O25" s="341"/>
      <c r="P25" s="341"/>
      <c r="Q25" s="341"/>
      <c r="R25" s="341"/>
      <c r="S25" s="341"/>
      <c r="T25" s="29"/>
      <c r="U25" s="71"/>
    </row>
    <row r="26" spans="1:21" ht="20.25" customHeight="1">
      <c r="A26" s="78"/>
      <c r="B26" s="1003" t="s">
        <v>716</v>
      </c>
      <c r="C26" s="1004">
        <f t="shared" si="1"/>
        <v>900.11</v>
      </c>
      <c r="D26" s="1005"/>
      <c r="E26" s="70"/>
      <c r="F26" s="372"/>
      <c r="G26" s="1015"/>
      <c r="H26" s="318"/>
      <c r="I26" s="318"/>
      <c r="J26" s="949"/>
      <c r="K26" s="30"/>
      <c r="L26" s="29"/>
      <c r="M26" s="29"/>
      <c r="N26" s="29"/>
      <c r="O26" s="30"/>
      <c r="P26" s="29"/>
      <c r="Q26" s="30"/>
      <c r="R26" s="29"/>
      <c r="S26" s="29"/>
      <c r="T26" s="29"/>
      <c r="U26" s="71"/>
    </row>
    <row r="27" spans="1:21" ht="20.25" customHeight="1">
      <c r="A27" s="78"/>
      <c r="B27" s="1003" t="s">
        <v>717</v>
      </c>
      <c r="C27" s="1004">
        <f t="shared" si="1"/>
        <v>936.11</v>
      </c>
      <c r="D27" s="1005"/>
      <c r="E27" s="70"/>
      <c r="F27" s="318"/>
      <c r="G27" s="1015"/>
      <c r="H27" s="318"/>
      <c r="I27" s="318"/>
      <c r="J27" s="949"/>
      <c r="K27" s="998" t="s">
        <v>1698</v>
      </c>
      <c r="L27" s="294" t="s">
        <v>1699</v>
      </c>
      <c r="M27" s="999" t="s">
        <v>722</v>
      </c>
      <c r="N27" s="365"/>
      <c r="O27" s="323"/>
      <c r="P27" s="323"/>
      <c r="Q27" s="323"/>
      <c r="R27" s="29"/>
      <c r="S27" s="29"/>
      <c r="T27" s="29"/>
      <c r="U27" s="71"/>
    </row>
    <row r="28" spans="1:21" ht="20.25" customHeight="1">
      <c r="A28" s="78"/>
      <c r="B28" s="1003" t="s">
        <v>718</v>
      </c>
      <c r="C28" s="1004">
        <f t="shared" si="1"/>
        <v>973.56</v>
      </c>
      <c r="D28" s="1005"/>
      <c r="E28" s="70"/>
      <c r="F28" s="318"/>
      <c r="G28" s="1015"/>
      <c r="H28" s="318"/>
      <c r="I28" s="318"/>
      <c r="J28" s="949"/>
      <c r="K28" s="295"/>
      <c r="L28" s="297"/>
      <c r="M28" s="297"/>
      <c r="N28" s="297"/>
      <c r="O28" s="323"/>
      <c r="P28" s="323"/>
      <c r="Q28" s="323"/>
      <c r="R28" s="29"/>
      <c r="S28" s="29"/>
      <c r="T28" s="29"/>
      <c r="U28" s="1016"/>
    </row>
    <row r="29" spans="1:21" ht="20.25" customHeight="1">
      <c r="A29" s="78"/>
      <c r="B29" s="1003" t="s">
        <v>719</v>
      </c>
      <c r="C29" s="1004">
        <f t="shared" si="1"/>
        <v>1012.5</v>
      </c>
      <c r="D29" s="1005"/>
      <c r="E29" s="70"/>
      <c r="F29" s="318"/>
      <c r="G29" s="314"/>
      <c r="H29" s="318"/>
      <c r="I29" s="318"/>
      <c r="J29" s="949"/>
      <c r="K29" s="1006" t="s">
        <v>1342</v>
      </c>
      <c r="L29" s="1007" t="s">
        <v>1520</v>
      </c>
      <c r="M29" s="1008">
        <f>VLOOKUP("TV SAUDE SUPERIOR 1 01 30H",RHE,10,FALSE)</f>
        <v>3241.75</v>
      </c>
      <c r="N29" s="1122"/>
      <c r="O29" s="323"/>
      <c r="P29" s="323"/>
      <c r="Q29" s="323"/>
      <c r="R29" s="29"/>
      <c r="S29" s="29"/>
      <c r="T29" s="29"/>
      <c r="U29" s="1016"/>
    </row>
    <row r="30" spans="1:21" ht="20.25" customHeight="1">
      <c r="A30" s="78"/>
      <c r="B30" s="1003" t="s">
        <v>720</v>
      </c>
      <c r="C30" s="1004">
        <f t="shared" si="1"/>
        <v>1053</v>
      </c>
      <c r="D30" s="1005"/>
      <c r="E30" s="70"/>
      <c r="F30" s="318"/>
      <c r="G30" s="314"/>
      <c r="H30" s="318"/>
      <c r="I30" s="318"/>
      <c r="J30" s="949"/>
      <c r="K30" s="1009" t="s">
        <v>1343</v>
      </c>
      <c r="L30" s="1010" t="s">
        <v>1521</v>
      </c>
      <c r="M30" s="1011">
        <f>VLOOKUP("TV SAUDE SUPERIOR 1 02 30H",RHE,10,FALSE)</f>
        <v>3371.42</v>
      </c>
      <c r="N30" s="1122"/>
      <c r="O30" s="323"/>
      <c r="P30" s="323"/>
      <c r="Q30" s="323"/>
      <c r="R30" s="29"/>
      <c r="S30" s="29"/>
      <c r="T30" s="29"/>
      <c r="U30" s="71"/>
    </row>
    <row r="31" spans="1:21" ht="20.25" customHeight="1">
      <c r="A31" s="78"/>
      <c r="B31" s="1003" t="s">
        <v>870</v>
      </c>
      <c r="C31" s="1004">
        <f t="shared" si="1"/>
        <v>1095.12</v>
      </c>
      <c r="D31" s="1005"/>
      <c r="E31" s="70"/>
      <c r="F31" s="318"/>
      <c r="G31" s="314"/>
      <c r="H31" s="318"/>
      <c r="I31" s="318"/>
      <c r="J31" s="949"/>
      <c r="K31" s="1009" t="s">
        <v>1344</v>
      </c>
      <c r="L31" s="1010" t="s">
        <v>1522</v>
      </c>
      <c r="M31" s="1011">
        <f>VLOOKUP("TV SAUDE SUPERIOR 1 03 30H",RHE,10,FALSE)</f>
        <v>3506.28</v>
      </c>
      <c r="N31" s="1122"/>
      <c r="O31" s="323"/>
      <c r="P31" s="323"/>
      <c r="Q31" s="323"/>
      <c r="R31" s="29"/>
      <c r="S31" s="29"/>
      <c r="T31" s="29"/>
      <c r="U31" s="71"/>
    </row>
    <row r="32" spans="1:21" ht="20.25" customHeight="1">
      <c r="A32" s="78"/>
      <c r="B32" s="1003" t="s">
        <v>871</v>
      </c>
      <c r="C32" s="1004">
        <f t="shared" si="1"/>
        <v>1138.94</v>
      </c>
      <c r="D32" s="1005"/>
      <c r="E32" s="70"/>
      <c r="F32" s="318"/>
      <c r="G32" s="314"/>
      <c r="H32" s="318"/>
      <c r="I32" s="318"/>
      <c r="J32" s="949"/>
      <c r="K32" s="1009" t="s">
        <v>1345</v>
      </c>
      <c r="L32" s="1010" t="s">
        <v>1523</v>
      </c>
      <c r="M32" s="1011">
        <f>VLOOKUP("TV SAUDE SUPERIOR 1 04 30H",RHE,10,FALSE)</f>
        <v>3646.53</v>
      </c>
      <c r="N32" s="1122"/>
      <c r="O32" s="323"/>
      <c r="P32" s="323"/>
      <c r="Q32" s="323"/>
      <c r="R32" s="29"/>
      <c r="S32" s="29"/>
      <c r="T32" s="29"/>
      <c r="U32" s="71"/>
    </row>
    <row r="33" spans="1:21" ht="20.25" customHeight="1">
      <c r="A33" s="78"/>
      <c r="B33" s="1003" t="s">
        <v>879</v>
      </c>
      <c r="C33" s="1004">
        <f t="shared" si="1"/>
        <v>1184.5</v>
      </c>
      <c r="D33" s="1005"/>
      <c r="E33" s="70"/>
      <c r="F33" s="131"/>
      <c r="G33" s="314"/>
      <c r="H33" s="131"/>
      <c r="I33" s="131"/>
      <c r="J33" s="29"/>
      <c r="K33" s="1009" t="s">
        <v>1356</v>
      </c>
      <c r="L33" s="1010" t="s">
        <v>1524</v>
      </c>
      <c r="M33" s="1011">
        <f>VLOOKUP("TV SAUDE SUPERIOR 1 05 30H",RHE,10,FALSE)</f>
        <v>3792.38</v>
      </c>
      <c r="N33" s="1122"/>
      <c r="O33" s="29"/>
      <c r="P33" s="29"/>
      <c r="Q33" s="30"/>
      <c r="R33" s="29"/>
      <c r="S33" s="29"/>
      <c r="T33" s="29"/>
      <c r="U33" s="71"/>
    </row>
    <row r="34" spans="1:21" ht="20.25" customHeight="1">
      <c r="A34" s="78"/>
      <c r="B34" s="1003" t="s">
        <v>880</v>
      </c>
      <c r="C34" s="1004">
        <f t="shared" si="1"/>
        <v>1231.87</v>
      </c>
      <c r="D34" s="1005"/>
      <c r="E34" s="70"/>
      <c r="F34" s="131"/>
      <c r="G34" s="314"/>
      <c r="H34" s="131"/>
      <c r="I34" s="131"/>
      <c r="J34" s="29"/>
      <c r="K34" s="1009" t="s">
        <v>1357</v>
      </c>
      <c r="L34" s="1010" t="s">
        <v>1525</v>
      </c>
      <c r="M34" s="1011">
        <f>VLOOKUP("TV SAUDE SUPERIOR 1 06 30H",RHE,10,FALSE)</f>
        <v>3944.09</v>
      </c>
      <c r="N34" s="1122"/>
      <c r="O34" s="29"/>
      <c r="P34" s="29"/>
      <c r="Q34" s="30"/>
      <c r="R34" s="29"/>
      <c r="S34" s="29"/>
      <c r="T34" s="29"/>
      <c r="U34" s="71"/>
    </row>
    <row r="35" spans="1:21" ht="20.25" customHeight="1">
      <c r="A35" s="78"/>
      <c r="B35" s="1003" t="s">
        <v>804</v>
      </c>
      <c r="C35" s="1004">
        <f aca="true" t="shared" si="2" ref="C35:C46">R11</f>
        <v>724.15</v>
      </c>
      <c r="D35" s="1005"/>
      <c r="E35" s="70"/>
      <c r="F35" s="55"/>
      <c r="G35" s="1017"/>
      <c r="H35" s="55"/>
      <c r="I35" s="55"/>
      <c r="J35" s="229"/>
      <c r="K35" s="1009" t="s">
        <v>1358</v>
      </c>
      <c r="L35" s="1010" t="s">
        <v>1526</v>
      </c>
      <c r="M35" s="1011">
        <f>VLOOKUP("TV SAUDE SUPERIOR 1 07 30H",RHE,10,FALSE)</f>
        <v>4101.84</v>
      </c>
      <c r="N35" s="1122"/>
      <c r="O35" s="55"/>
      <c r="P35" s="1018"/>
      <c r="Q35" s="55"/>
      <c r="R35" s="229"/>
      <c r="S35" s="229"/>
      <c r="T35" s="229"/>
      <c r="U35" s="71"/>
    </row>
    <row r="36" spans="1:21" ht="20.25" customHeight="1">
      <c r="A36" s="78"/>
      <c r="B36" s="1003" t="s">
        <v>805</v>
      </c>
      <c r="C36" s="1004">
        <f t="shared" si="2"/>
        <v>753.11</v>
      </c>
      <c r="D36" s="1005"/>
      <c r="E36" s="70"/>
      <c r="F36" s="55"/>
      <c r="G36" s="1017"/>
      <c r="H36" s="55"/>
      <c r="I36" s="55"/>
      <c r="J36" s="229"/>
      <c r="K36" s="1009" t="s">
        <v>1359</v>
      </c>
      <c r="L36" s="1010" t="s">
        <v>1527</v>
      </c>
      <c r="M36" s="1011">
        <f>VLOOKUP("TV SAUDE SUPERIOR 1 08 30H",RHE,10,FALSE)</f>
        <v>4265.93</v>
      </c>
      <c r="N36" s="1122"/>
      <c r="O36" s="55"/>
      <c r="P36" s="1018"/>
      <c r="Q36" s="55"/>
      <c r="R36" s="229"/>
      <c r="S36" s="229"/>
      <c r="T36" s="229"/>
      <c r="U36" s="71"/>
    </row>
    <row r="37" spans="1:21" ht="20.25" customHeight="1">
      <c r="A37" s="78"/>
      <c r="B37" s="1003" t="s">
        <v>806</v>
      </c>
      <c r="C37" s="1004">
        <f t="shared" si="2"/>
        <v>783.23</v>
      </c>
      <c r="D37" s="1005"/>
      <c r="E37" s="70"/>
      <c r="F37" s="131"/>
      <c r="G37" s="314"/>
      <c r="H37" s="131"/>
      <c r="I37" s="131"/>
      <c r="J37" s="29"/>
      <c r="K37" s="1009" t="s">
        <v>1360</v>
      </c>
      <c r="L37" s="1010" t="s">
        <v>1528</v>
      </c>
      <c r="M37" s="1011">
        <f>VLOOKUP("TV SAUDE SUPERIOR 1 09 30H",RHE,10,FALSE)</f>
        <v>4436.57</v>
      </c>
      <c r="N37" s="1122"/>
      <c r="O37" s="29"/>
      <c r="P37" s="29"/>
      <c r="Q37" s="29"/>
      <c r="R37" s="29"/>
      <c r="S37" s="29"/>
      <c r="T37" s="29"/>
      <c r="U37" s="71"/>
    </row>
    <row r="38" spans="1:21" ht="20.25" customHeight="1">
      <c r="A38" s="78"/>
      <c r="B38" s="1003" t="s">
        <v>807</v>
      </c>
      <c r="C38" s="1004">
        <f t="shared" si="2"/>
        <v>814.57</v>
      </c>
      <c r="D38" s="1005"/>
      <c r="E38" s="70"/>
      <c r="F38" s="318"/>
      <c r="G38" s="314"/>
      <c r="H38" s="318"/>
      <c r="I38" s="318"/>
      <c r="J38" s="949"/>
      <c r="K38" s="1009" t="s">
        <v>1361</v>
      </c>
      <c r="L38" s="1010" t="s">
        <v>1529</v>
      </c>
      <c r="M38" s="1011">
        <f>VLOOKUP("TV SAUDE SUPERIOR 1 10 30H",RHE,10,FALSE)</f>
        <v>4614.03</v>
      </c>
      <c r="N38" s="1122"/>
      <c r="O38" s="318"/>
      <c r="P38" s="61"/>
      <c r="Q38" s="318"/>
      <c r="R38" s="949"/>
      <c r="S38" s="949"/>
      <c r="T38" s="949"/>
      <c r="U38" s="71"/>
    </row>
    <row r="39" spans="1:21" ht="20.25" customHeight="1">
      <c r="A39" s="78"/>
      <c r="B39" s="1003" t="s">
        <v>808</v>
      </c>
      <c r="C39" s="1004">
        <f t="shared" si="2"/>
        <v>847.15</v>
      </c>
      <c r="D39" s="1005"/>
      <c r="E39" s="70"/>
      <c r="F39" s="318"/>
      <c r="G39" s="314"/>
      <c r="H39" s="318"/>
      <c r="I39" s="318"/>
      <c r="J39" s="949"/>
      <c r="K39" s="1009" t="s">
        <v>1362</v>
      </c>
      <c r="L39" s="1010" t="s">
        <v>1530</v>
      </c>
      <c r="M39" s="1011">
        <f>VLOOKUP("TV SAUDE SUPERIOR 1 11 30H",RHE,10,FALSE)</f>
        <v>4798.58</v>
      </c>
      <c r="N39" s="1122"/>
      <c r="O39" s="318"/>
      <c r="P39" s="61"/>
      <c r="Q39" s="318"/>
      <c r="R39" s="949"/>
      <c r="S39" s="949"/>
      <c r="T39" s="949"/>
      <c r="U39" s="71"/>
    </row>
    <row r="40" spans="1:21" ht="20.25" customHeight="1">
      <c r="A40" s="78"/>
      <c r="B40" s="1003" t="s">
        <v>809</v>
      </c>
      <c r="C40" s="1004">
        <f t="shared" si="2"/>
        <v>881.04</v>
      </c>
      <c r="D40" s="1005"/>
      <c r="E40" s="70"/>
      <c r="F40" s="318"/>
      <c r="G40" s="314"/>
      <c r="H40" s="318"/>
      <c r="I40" s="318"/>
      <c r="J40" s="949"/>
      <c r="K40" s="1012" t="s">
        <v>1363</v>
      </c>
      <c r="L40" s="1013" t="s">
        <v>1531</v>
      </c>
      <c r="M40" s="1014">
        <f>VLOOKUP("TV SAUDE SUPERIOR 1 12 30H",RHE,10,FALSE)</f>
        <v>4990.52</v>
      </c>
      <c r="N40" s="1122"/>
      <c r="O40" s="318"/>
      <c r="P40" s="61"/>
      <c r="Q40" s="318"/>
      <c r="R40" s="949"/>
      <c r="S40" s="949"/>
      <c r="T40" s="949"/>
      <c r="U40" s="71"/>
    </row>
    <row r="41" spans="1:21" ht="20.25" customHeight="1">
      <c r="A41" s="78"/>
      <c r="B41" s="1003" t="s">
        <v>705</v>
      </c>
      <c r="C41" s="1004">
        <f t="shared" si="2"/>
        <v>916.27</v>
      </c>
      <c r="D41" s="1005"/>
      <c r="E41" s="74"/>
      <c r="F41" s="180"/>
      <c r="G41" s="1019"/>
      <c r="H41" s="180"/>
      <c r="I41" s="180"/>
      <c r="J41" s="113"/>
      <c r="K41" s="113"/>
      <c r="L41" s="113"/>
      <c r="M41" s="115"/>
      <c r="N41" s="115"/>
      <c r="O41" s="115"/>
      <c r="P41" s="115"/>
      <c r="Q41" s="115"/>
      <c r="R41" s="113"/>
      <c r="S41" s="113"/>
      <c r="T41" s="113"/>
      <c r="U41" s="75"/>
    </row>
    <row r="42" spans="2:9" ht="20.25" customHeight="1">
      <c r="B42" s="1003" t="s">
        <v>706</v>
      </c>
      <c r="C42" s="1004">
        <f t="shared" si="2"/>
        <v>952.93</v>
      </c>
      <c r="D42" s="1005"/>
      <c r="F42" s="31"/>
      <c r="G42" s="31"/>
      <c r="H42" s="31"/>
      <c r="I42" s="31"/>
    </row>
    <row r="43" spans="1:4" ht="20.25" customHeight="1">
      <c r="A43" s="78"/>
      <c r="B43" s="1003" t="s">
        <v>707</v>
      </c>
      <c r="C43" s="1004">
        <f t="shared" si="2"/>
        <v>991.06</v>
      </c>
      <c r="D43" s="1005"/>
    </row>
    <row r="44" spans="1:20" ht="20.25" customHeight="1">
      <c r="A44" s="78"/>
      <c r="B44" s="1003" t="s">
        <v>92</v>
      </c>
      <c r="C44" s="1004">
        <f t="shared" si="2"/>
        <v>1030.69</v>
      </c>
      <c r="D44" s="1005"/>
      <c r="P44" s="29"/>
      <c r="Q44" s="29"/>
      <c r="R44" s="29"/>
      <c r="S44" s="29"/>
      <c r="T44" s="29"/>
    </row>
    <row r="45" spans="1:20" ht="20.25" customHeight="1">
      <c r="A45" s="78"/>
      <c r="B45" s="1003" t="s">
        <v>93</v>
      </c>
      <c r="C45" s="1004">
        <f t="shared" si="2"/>
        <v>1071.92</v>
      </c>
      <c r="D45" s="1005"/>
      <c r="P45" s="29"/>
      <c r="Q45" s="29"/>
      <c r="R45" s="29"/>
      <c r="S45" s="29"/>
      <c r="T45" s="29"/>
    </row>
    <row r="46" spans="1:20" ht="20.25" customHeight="1">
      <c r="A46" s="78"/>
      <c r="B46" s="1003" t="s">
        <v>94</v>
      </c>
      <c r="C46" s="1004">
        <f t="shared" si="2"/>
        <v>1114.8</v>
      </c>
      <c r="D46" s="1005"/>
      <c r="P46" s="29"/>
      <c r="Q46" s="29"/>
      <c r="R46" s="29"/>
      <c r="S46" s="29"/>
      <c r="T46" s="29"/>
    </row>
    <row r="47" spans="1:20" ht="20.25" customHeight="1">
      <c r="A47" s="78"/>
      <c r="B47" s="1003" t="s">
        <v>821</v>
      </c>
      <c r="C47" s="1004">
        <f>M29</f>
        <v>3241.75</v>
      </c>
      <c r="D47" s="1005"/>
      <c r="P47" s="29"/>
      <c r="Q47" s="29"/>
      <c r="R47" s="29"/>
      <c r="S47" s="29"/>
      <c r="T47" s="29"/>
    </row>
    <row r="48" spans="1:20" ht="20.25" customHeight="1">
      <c r="A48" s="78"/>
      <c r="B48" s="1003" t="s">
        <v>822</v>
      </c>
      <c r="C48" s="1004">
        <f aca="true" t="shared" si="3" ref="C48:C58">M30</f>
        <v>3371.42</v>
      </c>
      <c r="D48" s="1005"/>
      <c r="P48" s="29"/>
      <c r="Q48" s="29"/>
      <c r="R48" s="29"/>
      <c r="S48" s="29"/>
      <c r="T48" s="29"/>
    </row>
    <row r="49" spans="1:9" ht="20.25" customHeight="1">
      <c r="A49" s="78"/>
      <c r="B49" s="1003" t="s">
        <v>823</v>
      </c>
      <c r="C49" s="1004">
        <f t="shared" si="3"/>
        <v>3506.28</v>
      </c>
      <c r="D49" s="1005"/>
      <c r="F49" s="31"/>
      <c r="H49" s="31"/>
      <c r="I49" s="31"/>
    </row>
    <row r="50" spans="1:4" ht="20.25" customHeight="1">
      <c r="A50" s="78"/>
      <c r="B50" s="1003" t="s">
        <v>824</v>
      </c>
      <c r="C50" s="1004">
        <f t="shared" si="3"/>
        <v>3646.53</v>
      </c>
      <c r="D50" s="1005"/>
    </row>
    <row r="51" spans="2:4" ht="20.25" customHeight="1">
      <c r="B51" s="1003" t="s">
        <v>825</v>
      </c>
      <c r="C51" s="1004">
        <f t="shared" si="3"/>
        <v>3792.38</v>
      </c>
      <c r="D51" s="1005"/>
    </row>
    <row r="52" spans="2:4" ht="20.25" customHeight="1">
      <c r="B52" s="1003" t="s">
        <v>826</v>
      </c>
      <c r="C52" s="1004">
        <f t="shared" si="3"/>
        <v>3944.09</v>
      </c>
      <c r="D52" s="1005"/>
    </row>
    <row r="53" spans="2:4" ht="20.25" customHeight="1">
      <c r="B53" s="1003" t="s">
        <v>827</v>
      </c>
      <c r="C53" s="1004">
        <f t="shared" si="3"/>
        <v>4101.84</v>
      </c>
      <c r="D53" s="1005"/>
    </row>
    <row r="54" spans="2:4" ht="20.25" customHeight="1">
      <c r="B54" s="1003" t="s">
        <v>800</v>
      </c>
      <c r="C54" s="1004">
        <f t="shared" si="3"/>
        <v>4265.93</v>
      </c>
      <c r="D54" s="1005"/>
    </row>
    <row r="55" spans="2:4" ht="20.25" customHeight="1">
      <c r="B55" s="1003" t="s">
        <v>801</v>
      </c>
      <c r="C55" s="1004">
        <f t="shared" si="3"/>
        <v>4436.57</v>
      </c>
      <c r="D55" s="1005"/>
    </row>
    <row r="56" spans="2:4" ht="20.25" customHeight="1">
      <c r="B56" s="1003" t="s">
        <v>802</v>
      </c>
      <c r="C56" s="1004">
        <f t="shared" si="3"/>
        <v>4614.03</v>
      </c>
      <c r="D56" s="1005"/>
    </row>
    <row r="57" spans="1:4" ht="20.25" customHeight="1">
      <c r="A57" s="78"/>
      <c r="B57" s="1003" t="s">
        <v>803</v>
      </c>
      <c r="C57" s="1004">
        <f t="shared" si="3"/>
        <v>4798.58</v>
      </c>
      <c r="D57" s="1005"/>
    </row>
    <row r="58" spans="1:4" ht="20.25" customHeight="1" thickBot="1">
      <c r="A58" s="78"/>
      <c r="B58" s="1020" t="s">
        <v>96</v>
      </c>
      <c r="C58" s="1021">
        <f t="shared" si="3"/>
        <v>4990.52</v>
      </c>
      <c r="D58" s="1005"/>
    </row>
    <row r="59" spans="1:4" ht="20.25" customHeight="1">
      <c r="A59" s="78"/>
      <c r="B59" s="1003" t="s">
        <v>1608</v>
      </c>
      <c r="C59" s="1004">
        <f>I11</f>
        <v>295</v>
      </c>
      <c r="D59" s="87"/>
    </row>
    <row r="60" spans="1:4" ht="20.25" customHeight="1">
      <c r="A60" s="78"/>
      <c r="B60" s="1003" t="s">
        <v>1609</v>
      </c>
      <c r="C60" s="1004">
        <f aca="true" t="shared" si="4" ref="C60:C70">I12</f>
        <v>283.7</v>
      </c>
      <c r="D60" s="87"/>
    </row>
    <row r="61" spans="2:4" ht="20.25" customHeight="1">
      <c r="B61" s="1003" t="s">
        <v>1610</v>
      </c>
      <c r="C61" s="1004">
        <f t="shared" si="4"/>
        <v>272.8</v>
      </c>
      <c r="D61" s="87"/>
    </row>
    <row r="62" spans="2:4" ht="20.25" customHeight="1">
      <c r="B62" s="1003" t="s">
        <v>1611</v>
      </c>
      <c r="C62" s="1004">
        <f t="shared" si="4"/>
        <v>262.4</v>
      </c>
      <c r="D62" s="87"/>
    </row>
    <row r="63" spans="2:4" ht="20.25" customHeight="1">
      <c r="B63" s="1003" t="s">
        <v>1612</v>
      </c>
      <c r="C63" s="1004">
        <f t="shared" si="4"/>
        <v>252.4</v>
      </c>
      <c r="D63" s="87"/>
    </row>
    <row r="64" spans="2:4" ht="20.25" customHeight="1">
      <c r="B64" s="1003" t="s">
        <v>1613</v>
      </c>
      <c r="C64" s="1004">
        <f t="shared" si="4"/>
        <v>242.7</v>
      </c>
      <c r="D64" s="87"/>
    </row>
    <row r="65" spans="2:4" ht="20.25" customHeight="1">
      <c r="B65" s="1003" t="s">
        <v>1614</v>
      </c>
      <c r="C65" s="1004">
        <f t="shared" si="4"/>
        <v>233.4</v>
      </c>
      <c r="D65" s="87"/>
    </row>
    <row r="66" spans="2:4" ht="20.25" customHeight="1">
      <c r="B66" s="1003" t="s">
        <v>1615</v>
      </c>
      <c r="C66" s="1004">
        <f t="shared" si="4"/>
        <v>224.5</v>
      </c>
      <c r="D66" s="87"/>
    </row>
    <row r="67" spans="2:4" ht="20.25" customHeight="1">
      <c r="B67" s="1003" t="s">
        <v>1616</v>
      </c>
      <c r="C67" s="1004">
        <f t="shared" si="4"/>
        <v>215.9</v>
      </c>
      <c r="D67" s="87"/>
    </row>
    <row r="68" spans="2:4" ht="20.25" customHeight="1">
      <c r="B68" s="1003" t="s">
        <v>1617</v>
      </c>
      <c r="C68" s="1004">
        <f t="shared" si="4"/>
        <v>207.6</v>
      </c>
      <c r="D68" s="87"/>
    </row>
    <row r="69" spans="2:4" ht="20.25" customHeight="1">
      <c r="B69" s="1003" t="s">
        <v>1618</v>
      </c>
      <c r="C69" s="1004">
        <f t="shared" si="4"/>
        <v>199.7</v>
      </c>
      <c r="D69" s="87"/>
    </row>
    <row r="70" spans="2:4" ht="20.25" customHeight="1">
      <c r="B70" s="1003" t="s">
        <v>1619</v>
      </c>
      <c r="C70" s="1004">
        <f t="shared" si="4"/>
        <v>192.1</v>
      </c>
      <c r="D70" s="87"/>
    </row>
    <row r="71" spans="2:4" ht="20.25" customHeight="1">
      <c r="B71" s="1003" t="s">
        <v>1620</v>
      </c>
      <c r="C71" s="1004">
        <f>N11</f>
        <v>310</v>
      </c>
      <c r="D71" s="87"/>
    </row>
    <row r="72" spans="2:4" ht="20.25" customHeight="1">
      <c r="B72" s="1003" t="s">
        <v>1621</v>
      </c>
      <c r="C72" s="1004">
        <f aca="true" t="shared" si="5" ref="C72:C82">N12</f>
        <v>298.1</v>
      </c>
      <c r="D72" s="87"/>
    </row>
    <row r="73" spans="2:4" ht="20.25" customHeight="1">
      <c r="B73" s="1003" t="s">
        <v>1622</v>
      </c>
      <c r="C73" s="1004">
        <f t="shared" si="5"/>
        <v>286.7</v>
      </c>
      <c r="D73" s="87"/>
    </row>
    <row r="74" spans="2:4" ht="20.25" customHeight="1">
      <c r="B74" s="1003" t="s">
        <v>1623</v>
      </c>
      <c r="C74" s="1004">
        <f t="shared" si="5"/>
        <v>275.7</v>
      </c>
      <c r="D74" s="87"/>
    </row>
    <row r="75" spans="2:4" ht="20.25" customHeight="1">
      <c r="B75" s="1003" t="s">
        <v>1624</v>
      </c>
      <c r="C75" s="1004">
        <f t="shared" si="5"/>
        <v>265.1</v>
      </c>
      <c r="D75" s="87"/>
    </row>
    <row r="76" spans="2:4" ht="20.25" customHeight="1">
      <c r="B76" s="1003" t="s">
        <v>1625</v>
      </c>
      <c r="C76" s="1004">
        <f t="shared" si="5"/>
        <v>255</v>
      </c>
      <c r="D76" s="87"/>
    </row>
    <row r="77" spans="2:4" ht="20.25" customHeight="1">
      <c r="B77" s="1003" t="s">
        <v>1626</v>
      </c>
      <c r="C77" s="1004">
        <f t="shared" si="5"/>
        <v>245.2</v>
      </c>
      <c r="D77" s="87"/>
    </row>
    <row r="78" spans="2:4" ht="20.25" customHeight="1">
      <c r="B78" s="1003" t="s">
        <v>1627</v>
      </c>
      <c r="C78" s="1004">
        <f t="shared" si="5"/>
        <v>235.8</v>
      </c>
      <c r="D78" s="87"/>
    </row>
    <row r="79" spans="2:4" ht="20.25" customHeight="1">
      <c r="B79" s="1003" t="s">
        <v>1628</v>
      </c>
      <c r="C79" s="1004">
        <f t="shared" si="5"/>
        <v>226.8</v>
      </c>
      <c r="D79" s="87"/>
    </row>
    <row r="80" spans="2:4" ht="20.25" customHeight="1">
      <c r="B80" s="1003" t="s">
        <v>1629</v>
      </c>
      <c r="C80" s="1004">
        <f t="shared" si="5"/>
        <v>218.1</v>
      </c>
      <c r="D80" s="87"/>
    </row>
    <row r="81" spans="2:4" ht="20.25" customHeight="1">
      <c r="B81" s="1003" t="s">
        <v>1630</v>
      </c>
      <c r="C81" s="1004">
        <f t="shared" si="5"/>
        <v>209.8</v>
      </c>
      <c r="D81" s="87"/>
    </row>
    <row r="82" spans="2:4" ht="20.25" customHeight="1">
      <c r="B82" s="1003" t="s">
        <v>1631</v>
      </c>
      <c r="C82" s="1004">
        <f t="shared" si="5"/>
        <v>201.8</v>
      </c>
      <c r="D82" s="87"/>
    </row>
    <row r="83" spans="2:3" ht="20.25" customHeight="1">
      <c r="B83" s="1003" t="s">
        <v>1701</v>
      </c>
      <c r="C83" s="1004">
        <f>S11</f>
        <v>345</v>
      </c>
    </row>
    <row r="84" spans="2:4" ht="20.25" customHeight="1">
      <c r="B84" s="1003" t="s">
        <v>1702</v>
      </c>
      <c r="C84" s="1004">
        <f aca="true" t="shared" si="6" ref="C84:C94">S12</f>
        <v>331.8</v>
      </c>
      <c r="D84" s="87"/>
    </row>
    <row r="85" spans="2:4" ht="20.25" customHeight="1">
      <c r="B85" s="1003" t="s">
        <v>1703</v>
      </c>
      <c r="C85" s="1004">
        <f t="shared" si="6"/>
        <v>319.1</v>
      </c>
      <c r="D85" s="87"/>
    </row>
    <row r="86" spans="2:4" ht="20.25" customHeight="1">
      <c r="B86" s="1003" t="s">
        <v>1704</v>
      </c>
      <c r="C86" s="1004">
        <f t="shared" si="6"/>
        <v>306.9</v>
      </c>
      <c r="D86" s="87"/>
    </row>
    <row r="87" spans="2:4" ht="20.25" customHeight="1">
      <c r="B87" s="1003" t="s">
        <v>1705</v>
      </c>
      <c r="C87" s="1004">
        <f t="shared" si="6"/>
        <v>295.1</v>
      </c>
      <c r="D87" s="29"/>
    </row>
    <row r="88" spans="2:4" ht="20.25" customHeight="1">
      <c r="B88" s="1003" t="s">
        <v>1706</v>
      </c>
      <c r="C88" s="1004">
        <f t="shared" si="6"/>
        <v>283.8</v>
      </c>
      <c r="D88" s="29"/>
    </row>
    <row r="89" spans="2:3" ht="20.25" customHeight="1">
      <c r="B89" s="1003" t="s">
        <v>1707</v>
      </c>
      <c r="C89" s="1004">
        <f t="shared" si="6"/>
        <v>272.9</v>
      </c>
    </row>
    <row r="90" spans="2:3" ht="20.25" customHeight="1">
      <c r="B90" s="1003" t="s">
        <v>1708</v>
      </c>
      <c r="C90" s="1004">
        <f t="shared" si="6"/>
        <v>262.5</v>
      </c>
    </row>
    <row r="91" spans="2:3" ht="20.25" customHeight="1">
      <c r="B91" s="1003" t="s">
        <v>1709</v>
      </c>
      <c r="C91" s="1004">
        <f t="shared" si="6"/>
        <v>252.5</v>
      </c>
    </row>
    <row r="92" spans="2:3" ht="20.25" customHeight="1">
      <c r="B92" s="1003" t="s">
        <v>1710</v>
      </c>
      <c r="C92" s="1004">
        <f t="shared" si="6"/>
        <v>242.8</v>
      </c>
    </row>
    <row r="93" spans="2:3" ht="20.25" customHeight="1">
      <c r="B93" s="1003" t="s">
        <v>1711</v>
      </c>
      <c r="C93" s="1004">
        <f t="shared" si="6"/>
        <v>233.5</v>
      </c>
    </row>
    <row r="94" spans="2:3" ht="20.25" customHeight="1" thickBot="1">
      <c r="B94" s="1020" t="s">
        <v>1712</v>
      </c>
      <c r="C94" s="1021">
        <f t="shared" si="6"/>
        <v>224.6</v>
      </c>
    </row>
    <row r="95" spans="2:4" ht="20.25" customHeight="1">
      <c r="B95" s="81"/>
      <c r="C95" s="81"/>
      <c r="D95" s="81"/>
    </row>
    <row r="96" spans="2:4" ht="20.25" customHeight="1">
      <c r="B96" s="81"/>
      <c r="C96" s="81"/>
      <c r="D96" s="81"/>
    </row>
    <row r="97" spans="2:4" ht="20.25" customHeight="1">
      <c r="B97" s="81"/>
      <c r="C97" s="81"/>
      <c r="D97" s="81"/>
    </row>
    <row r="98" spans="2:4" ht="20.25" customHeight="1">
      <c r="B98" s="81"/>
      <c r="C98" s="81"/>
      <c r="D98" s="81"/>
    </row>
    <row r="99" spans="2:4" ht="20.25" customHeight="1">
      <c r="B99" s="81"/>
      <c r="C99" s="81"/>
      <c r="D99" s="81"/>
    </row>
    <row r="100" spans="2:4" ht="20.25" customHeight="1">
      <c r="B100" s="81"/>
      <c r="C100" s="81"/>
      <c r="D100" s="81"/>
    </row>
    <row r="101" spans="2:4" ht="20.25" customHeight="1">
      <c r="B101" s="81"/>
      <c r="C101" s="81"/>
      <c r="D101" s="81"/>
    </row>
    <row r="102" spans="2:4" ht="20.25" customHeight="1">
      <c r="B102" s="81"/>
      <c r="C102" s="81"/>
      <c r="D102" s="81"/>
    </row>
    <row r="103" spans="2:4" ht="20.25" customHeight="1">
      <c r="B103" s="81"/>
      <c r="C103" s="81"/>
      <c r="D103" s="81"/>
    </row>
    <row r="104" spans="2:4" ht="20.25" customHeight="1">
      <c r="B104" s="81"/>
      <c r="C104" s="81"/>
      <c r="D104" s="81"/>
    </row>
    <row r="105" spans="2:4" ht="20.25" customHeight="1">
      <c r="B105" s="81"/>
      <c r="C105" s="81"/>
      <c r="D105" s="81"/>
    </row>
    <row r="106" spans="2:4" ht="20.25" customHeight="1">
      <c r="B106" s="81"/>
      <c r="C106" s="81"/>
      <c r="D106" s="81"/>
    </row>
    <row r="107" spans="2:4" ht="20.25" customHeight="1">
      <c r="B107" s="81"/>
      <c r="C107" s="81"/>
      <c r="D107" s="81"/>
    </row>
    <row r="108" spans="2:4" ht="20.25" customHeight="1">
      <c r="B108" s="81"/>
      <c r="C108" s="81"/>
      <c r="D108" s="81"/>
    </row>
    <row r="109" spans="2:4" ht="20.25" customHeight="1">
      <c r="B109" s="81"/>
      <c r="C109" s="81"/>
      <c r="D109" s="81"/>
    </row>
    <row r="110" spans="2:4" ht="20.25" customHeight="1">
      <c r="B110" s="81"/>
      <c r="C110" s="81"/>
      <c r="D110" s="81"/>
    </row>
    <row r="111" spans="2:4" ht="20.25" customHeight="1">
      <c r="B111" s="81"/>
      <c r="C111" s="81"/>
      <c r="D111" s="81"/>
    </row>
    <row r="112" spans="2:4" ht="20.25" customHeight="1">
      <c r="B112" s="81"/>
      <c r="C112" s="81"/>
      <c r="D112" s="81"/>
    </row>
    <row r="113" spans="2:4" ht="20.25" customHeight="1">
      <c r="B113" s="81"/>
      <c r="C113" s="81"/>
      <c r="D113" s="81"/>
    </row>
    <row r="114" spans="2:4" ht="20.25" customHeight="1">
      <c r="B114" s="81"/>
      <c r="C114" s="81"/>
      <c r="D114" s="81"/>
    </row>
    <row r="115" spans="2:4" ht="20.25" customHeight="1">
      <c r="B115" s="81"/>
      <c r="C115" s="81"/>
      <c r="D115" s="81"/>
    </row>
  </sheetData>
  <sheetProtection/>
  <mergeCells count="7">
    <mergeCell ref="K25:M25"/>
    <mergeCell ref="E3:F3"/>
    <mergeCell ref="G3:Q3"/>
    <mergeCell ref="R3:U3"/>
    <mergeCell ref="G4:Q4"/>
    <mergeCell ref="R4:U4"/>
    <mergeCell ref="F7:S7"/>
  </mergeCells>
  <printOptions horizontalCentered="1" verticalCentered="1"/>
  <pageMargins left="0.5511811023622047" right="0.2755905511811024" top="0.4330708661417323" bottom="0.35433070866141736" header="0.31496062992125984" footer="0.3149606299212598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8"/>
  <sheetViews>
    <sheetView tabSelected="1" zoomScalePageLayoutView="0" workbookViewId="0" topLeftCell="A16">
      <selection activeCell="R15" sqref="R15"/>
    </sheetView>
  </sheetViews>
  <sheetFormatPr defaultColWidth="9.140625" defaultRowHeight="12.75"/>
  <cols>
    <col min="1" max="1" width="3.57421875" style="1030" customWidth="1"/>
    <col min="2" max="2" width="9.140625" style="1030" hidden="1" customWidth="1"/>
    <col min="3" max="3" width="19.140625" style="1030" hidden="1" customWidth="1"/>
    <col min="4" max="4" width="8.421875" style="1030" hidden="1" customWidth="1"/>
    <col min="5" max="5" width="4.00390625" style="1091" customWidth="1"/>
    <col min="6" max="6" width="8.00390625" style="1092" customWidth="1"/>
    <col min="7" max="7" width="18.57421875" style="1093" customWidth="1"/>
    <col min="8" max="9" width="9.7109375" style="1092" customWidth="1"/>
    <col min="10" max="10" width="3.421875" style="1091" customWidth="1"/>
    <col min="11" max="11" width="9.140625" style="1091" customWidth="1"/>
    <col min="12" max="12" width="19.57421875" style="1094" customWidth="1"/>
    <col min="13" max="14" width="9.7109375" style="1091" customWidth="1"/>
    <col min="15" max="15" width="4.421875" style="1091" customWidth="1"/>
    <col min="16" max="16384" width="9.140625" style="1030" customWidth="1"/>
  </cols>
  <sheetData>
    <row r="1" ht="19.5" customHeight="1"/>
    <row r="2" spans="5:15" ht="10.5" customHeight="1">
      <c r="E2" s="1031"/>
      <c r="F2" s="1032"/>
      <c r="G2" s="1033"/>
      <c r="H2" s="1032"/>
      <c r="I2" s="1032"/>
      <c r="J2" s="1032"/>
      <c r="K2" s="1034"/>
      <c r="L2" s="1035"/>
      <c r="M2" s="1036"/>
      <c r="N2" s="1036"/>
      <c r="O2" s="1037"/>
    </row>
    <row r="3" spans="5:15" ht="15" customHeight="1">
      <c r="E3" s="1246" t="s">
        <v>274</v>
      </c>
      <c r="F3" s="1247"/>
      <c r="G3" s="1248" t="s">
        <v>1534</v>
      </c>
      <c r="H3" s="1248"/>
      <c r="I3" s="1248"/>
      <c r="J3" s="1248"/>
      <c r="K3" s="1248"/>
      <c r="L3" s="1248"/>
      <c r="M3" s="1248"/>
      <c r="N3" s="1249">
        <f>MAX(VLOOKUP("TV GERAL 1 01 40H",RHE,5,FALSE),VLOOKUP("TV GERAL 2 01 40H",RHE,5,FALSE))</f>
        <v>41699</v>
      </c>
      <c r="O3" s="1250"/>
    </row>
    <row r="4" spans="5:15" ht="15" customHeight="1">
      <c r="E4" s="1246"/>
      <c r="F4" s="1247"/>
      <c r="G4" s="1247" t="s">
        <v>1535</v>
      </c>
      <c r="H4" s="1247"/>
      <c r="I4" s="1247"/>
      <c r="J4" s="1247"/>
      <c r="K4" s="1247"/>
      <c r="L4" s="1247"/>
      <c r="M4" s="1247"/>
      <c r="N4" s="1249"/>
      <c r="O4" s="1250"/>
    </row>
    <row r="5" spans="5:15" ht="10.5" customHeight="1">
      <c r="E5" s="1038"/>
      <c r="F5" s="1039"/>
      <c r="G5" s="1040"/>
      <c r="H5" s="1041"/>
      <c r="I5" s="1041"/>
      <c r="J5" s="1041"/>
      <c r="K5" s="1039"/>
      <c r="L5" s="1042"/>
      <c r="M5" s="1039"/>
      <c r="N5" s="1039"/>
      <c r="O5" s="1043"/>
    </row>
    <row r="6" spans="5:15" ht="17.25" customHeight="1">
      <c r="E6" s="1044"/>
      <c r="F6" s="1045"/>
      <c r="G6" s="1046"/>
      <c r="H6" s="1045"/>
      <c r="I6" s="1045"/>
      <c r="J6" s="1047"/>
      <c r="K6" s="1047"/>
      <c r="L6" s="1048"/>
      <c r="M6" s="1047"/>
      <c r="N6" s="1047"/>
      <c r="O6" s="1049"/>
    </row>
    <row r="7" spans="5:15" ht="17.25" customHeight="1" thickBot="1">
      <c r="E7" s="1044"/>
      <c r="F7" s="1243" t="s">
        <v>1536</v>
      </c>
      <c r="G7" s="1244"/>
      <c r="H7" s="1244"/>
      <c r="I7" s="1244"/>
      <c r="J7" s="1244"/>
      <c r="K7" s="1244"/>
      <c r="L7" s="1244"/>
      <c r="M7" s="1244"/>
      <c r="N7" s="1245"/>
      <c r="O7" s="1050"/>
    </row>
    <row r="8" spans="2:15" ht="17.25" customHeight="1">
      <c r="B8" s="62" t="s">
        <v>1537</v>
      </c>
      <c r="C8" s="63">
        <f>TAB41_DATA_VAL</f>
        <v>41699</v>
      </c>
      <c r="E8" s="1044"/>
      <c r="F8" s="1051" t="s">
        <v>721</v>
      </c>
      <c r="G8" s="1052" t="s">
        <v>227</v>
      </c>
      <c r="H8" s="1053" t="s">
        <v>722</v>
      </c>
      <c r="I8" s="1053" t="s">
        <v>1538</v>
      </c>
      <c r="J8" s="1054"/>
      <c r="K8" s="1051" t="s">
        <v>721</v>
      </c>
      <c r="L8" s="1052" t="s">
        <v>227</v>
      </c>
      <c r="M8" s="1053" t="s">
        <v>722</v>
      </c>
      <c r="N8" s="1053" t="s">
        <v>1538</v>
      </c>
      <c r="O8" s="1055"/>
    </row>
    <row r="9" spans="2:15" ht="17.25" customHeight="1">
      <c r="B9" s="64" t="s">
        <v>281</v>
      </c>
      <c r="C9" s="65">
        <f>H9</f>
        <v>962.81</v>
      </c>
      <c r="E9" s="1044"/>
      <c r="F9" s="1056" t="s">
        <v>1409</v>
      </c>
      <c r="G9" s="1057" t="s">
        <v>1539</v>
      </c>
      <c r="H9" s="1058">
        <f>VLOOKUP("TV GERAL 1 01 40H",RHE,10,FALSE)</f>
        <v>962.81</v>
      </c>
      <c r="I9" s="1059">
        <f>VLOOKUP("TV GERAL 1 01 40H",RHE,12,FALSE)</f>
        <v>280</v>
      </c>
      <c r="J9" s="1060"/>
      <c r="K9" s="1056" t="s">
        <v>1295</v>
      </c>
      <c r="L9" s="1057" t="s">
        <v>1540</v>
      </c>
      <c r="M9" s="1059">
        <f>VLOOKUP("TV GERAL 1 13 40H",RHE,10,FALSE)</f>
        <v>1302.5</v>
      </c>
      <c r="N9" s="1059">
        <f>VLOOKUP("TV GERAL 1 01 40H",RHE,12,FALSE)</f>
        <v>280</v>
      </c>
      <c r="O9" s="1061"/>
    </row>
    <row r="10" spans="2:15" ht="17.25" customHeight="1">
      <c r="B10" s="66" t="s">
        <v>285</v>
      </c>
      <c r="C10" s="65">
        <f aca="true" t="shared" si="0" ref="C10:C20">H10</f>
        <v>1010.95</v>
      </c>
      <c r="E10" s="1044"/>
      <c r="F10" s="1062" t="s">
        <v>1410</v>
      </c>
      <c r="G10" s="1063" t="s">
        <v>1541</v>
      </c>
      <c r="H10" s="1064">
        <f>VLOOKUP("TV GERAL 1 02 40H",RHE,10,FALSE)</f>
        <v>1010.95</v>
      </c>
      <c r="I10" s="1065">
        <f>VLOOKUP("TV GERAL 1 02 40H",RHE,12,FALSE)</f>
        <v>280</v>
      </c>
      <c r="J10" s="1060"/>
      <c r="K10" s="1062" t="s">
        <v>1296</v>
      </c>
      <c r="L10" s="1063" t="s">
        <v>1542</v>
      </c>
      <c r="M10" s="1065">
        <f>VLOOKUP("TV GERAL 1 14 40H",RHE,10,FALSE)</f>
        <v>1367.63</v>
      </c>
      <c r="N10" s="1065">
        <f>VLOOKUP("TV GERAL 1 02 40H",RHE,12,FALSE)</f>
        <v>280</v>
      </c>
      <c r="O10" s="1066"/>
    </row>
    <row r="11" spans="2:15" ht="17.25" customHeight="1">
      <c r="B11" s="66" t="s">
        <v>289</v>
      </c>
      <c r="C11" s="65">
        <f t="shared" si="0"/>
        <v>1010.95</v>
      </c>
      <c r="E11" s="1044"/>
      <c r="F11" s="1062" t="s">
        <v>1411</v>
      </c>
      <c r="G11" s="1063" t="s">
        <v>1543</v>
      </c>
      <c r="H11" s="1064">
        <f>VLOOKUP("TV GERAL 1 03 40H",RHE,10,FALSE)</f>
        <v>1010.95</v>
      </c>
      <c r="I11" s="1065">
        <f>VLOOKUP("TV GERAL 1 03 40H",RHE,12,FALSE)</f>
        <v>280</v>
      </c>
      <c r="J11" s="1060"/>
      <c r="K11" s="1062" t="s">
        <v>1297</v>
      </c>
      <c r="L11" s="1063" t="s">
        <v>1544</v>
      </c>
      <c r="M11" s="1065">
        <f>VLOOKUP("TV GERAL 1 15 40H",RHE,10,FALSE)</f>
        <v>1367.63</v>
      </c>
      <c r="N11" s="1065">
        <f>VLOOKUP("TV GERAL 1 03 40H",RHE,12,FALSE)</f>
        <v>280</v>
      </c>
      <c r="O11" s="1066"/>
    </row>
    <row r="12" spans="2:15" ht="17.25" customHeight="1">
      <c r="B12" s="66" t="s">
        <v>60</v>
      </c>
      <c r="C12" s="65">
        <f t="shared" si="0"/>
        <v>1061.5</v>
      </c>
      <c r="E12" s="1044"/>
      <c r="F12" s="1062" t="s">
        <v>1412</v>
      </c>
      <c r="G12" s="1063" t="s">
        <v>1545</v>
      </c>
      <c r="H12" s="1064">
        <f>VLOOKUP("TV GERAL 1 04 40H",RHE,10,FALSE)</f>
        <v>1061.5</v>
      </c>
      <c r="I12" s="1065">
        <f>VLOOKUP("TV GERAL 1 04 40H",RHE,12,FALSE)</f>
        <v>280</v>
      </c>
      <c r="J12" s="1060"/>
      <c r="K12" s="1062" t="s">
        <v>1298</v>
      </c>
      <c r="L12" s="1063" t="s">
        <v>1546</v>
      </c>
      <c r="M12" s="1065">
        <f>VLOOKUP("TV GERAL 1 16 40H",RHE,10,FALSE)</f>
        <v>1436.01</v>
      </c>
      <c r="N12" s="1065">
        <f>VLOOKUP("TV GERAL 1 04 40H",RHE,12,FALSE)</f>
        <v>280</v>
      </c>
      <c r="O12" s="1066"/>
    </row>
    <row r="13" spans="2:15" ht="17.25" customHeight="1">
      <c r="B13" s="66" t="s">
        <v>63</v>
      </c>
      <c r="C13" s="65">
        <f t="shared" si="0"/>
        <v>1061.5</v>
      </c>
      <c r="E13" s="1044"/>
      <c r="F13" s="1062" t="s">
        <v>1413</v>
      </c>
      <c r="G13" s="1063" t="s">
        <v>1547</v>
      </c>
      <c r="H13" s="1064">
        <f>VLOOKUP("TV GERAL 1 05 40H",RHE,10,FALSE)</f>
        <v>1061.5</v>
      </c>
      <c r="I13" s="1065">
        <f>VLOOKUP("TV GERAL 1 05 40H",RHE,12,FALSE)</f>
        <v>270</v>
      </c>
      <c r="J13" s="1067"/>
      <c r="K13" s="1062" t="s">
        <v>1299</v>
      </c>
      <c r="L13" s="1063" t="s">
        <v>1548</v>
      </c>
      <c r="M13" s="1065">
        <f>VLOOKUP("TV GERAL 1 17 40H",RHE,10,FALSE)</f>
        <v>1436.01</v>
      </c>
      <c r="N13" s="1065">
        <f>VLOOKUP("TV GERAL 1 05 40H",RHE,12,FALSE)</f>
        <v>270</v>
      </c>
      <c r="O13" s="1066"/>
    </row>
    <row r="14" spans="2:15" ht="17.25" customHeight="1">
      <c r="B14" s="66" t="s">
        <v>863</v>
      </c>
      <c r="C14" s="65">
        <f t="shared" si="0"/>
        <v>1114.57</v>
      </c>
      <c r="E14" s="1044"/>
      <c r="F14" s="1062" t="s">
        <v>1414</v>
      </c>
      <c r="G14" s="1063" t="s">
        <v>1549</v>
      </c>
      <c r="H14" s="1064">
        <f>VLOOKUP("TV GERAL 1 06 40H",RHE,10,FALSE)</f>
        <v>1114.57</v>
      </c>
      <c r="I14" s="1065">
        <f>VLOOKUP("TV GERAL 1 06 40H",RHE,12,FALSE)</f>
        <v>270</v>
      </c>
      <c r="J14" s="1067"/>
      <c r="K14" s="1062" t="s">
        <v>1300</v>
      </c>
      <c r="L14" s="1063" t="s">
        <v>1550</v>
      </c>
      <c r="M14" s="1065">
        <f>VLOOKUP("TV GERAL 1 18 40H",RHE,10,FALSE)</f>
        <v>1507.81</v>
      </c>
      <c r="N14" s="1065">
        <f>VLOOKUP("TV GERAL 1 06 40H",RHE,12,FALSE)</f>
        <v>270</v>
      </c>
      <c r="O14" s="1066"/>
    </row>
    <row r="15" spans="2:15" ht="17.25" customHeight="1">
      <c r="B15" s="66" t="s">
        <v>865</v>
      </c>
      <c r="C15" s="65">
        <f t="shared" si="0"/>
        <v>1114.57</v>
      </c>
      <c r="E15" s="1044"/>
      <c r="F15" s="1062" t="s">
        <v>1415</v>
      </c>
      <c r="G15" s="1063" t="s">
        <v>1551</v>
      </c>
      <c r="H15" s="1064">
        <f>VLOOKUP("TV GERAL 1 07 40H",RHE,10,FALSE)</f>
        <v>1114.57</v>
      </c>
      <c r="I15" s="1065">
        <f>VLOOKUP("TV GERAL 1 07 40H",RHE,12,FALSE)</f>
        <v>270</v>
      </c>
      <c r="J15" s="1067"/>
      <c r="K15" s="1062" t="s">
        <v>1301</v>
      </c>
      <c r="L15" s="1063" t="s">
        <v>1552</v>
      </c>
      <c r="M15" s="1065">
        <f>VLOOKUP("TV GERAL 1 19 40H",RHE,10,FALSE)</f>
        <v>1507.81</v>
      </c>
      <c r="N15" s="1065">
        <f>VLOOKUP("TV GERAL 1 07 40H",RHE,12,FALSE)</f>
        <v>270</v>
      </c>
      <c r="O15" s="1066"/>
    </row>
    <row r="16" spans="2:15" ht="17.25" customHeight="1">
      <c r="B16" s="66" t="s">
        <v>867</v>
      </c>
      <c r="C16" s="65">
        <f t="shared" si="0"/>
        <v>1170.3</v>
      </c>
      <c r="E16" s="1044"/>
      <c r="F16" s="1062" t="s">
        <v>1416</v>
      </c>
      <c r="G16" s="1063" t="s">
        <v>1553</v>
      </c>
      <c r="H16" s="1064">
        <f>VLOOKUP("TV GERAL 1 08 40H",RHE,10,FALSE)</f>
        <v>1170.3</v>
      </c>
      <c r="I16" s="1065">
        <f>VLOOKUP("TV GERAL 1 08 40H",RHE,12,FALSE)</f>
        <v>270</v>
      </c>
      <c r="J16" s="1067"/>
      <c r="K16" s="1062" t="s">
        <v>1302</v>
      </c>
      <c r="L16" s="1063" t="s">
        <v>1554</v>
      </c>
      <c r="M16" s="1065">
        <f>VLOOKUP("TV GERAL 1 20 40H",RHE,10,FALSE)</f>
        <v>1583.2</v>
      </c>
      <c r="N16" s="1065">
        <f>VLOOKUP("TV GERAL 1 08 40H",RHE,12,FALSE)</f>
        <v>270</v>
      </c>
      <c r="O16" s="1066"/>
    </row>
    <row r="17" spans="2:15" ht="17.25" customHeight="1">
      <c r="B17" s="66" t="s">
        <v>868</v>
      </c>
      <c r="C17" s="65">
        <f t="shared" si="0"/>
        <v>1170.3</v>
      </c>
      <c r="E17" s="1044"/>
      <c r="F17" s="1062" t="s">
        <v>1417</v>
      </c>
      <c r="G17" s="1063" t="s">
        <v>1555</v>
      </c>
      <c r="H17" s="1064">
        <f>VLOOKUP("TV GERAL 1 09 40H",RHE,10,FALSE)</f>
        <v>1170.3</v>
      </c>
      <c r="I17" s="1065">
        <f>VLOOKUP("TV GERAL 1 09 40H",RHE,12,FALSE)</f>
        <v>260</v>
      </c>
      <c r="J17" s="1067"/>
      <c r="K17" s="1062" t="s">
        <v>1303</v>
      </c>
      <c r="L17" s="1063" t="s">
        <v>1556</v>
      </c>
      <c r="M17" s="1065">
        <f>VLOOKUP("TV GERAL 1 21 40H",RHE,10,FALSE)</f>
        <v>1583.2</v>
      </c>
      <c r="N17" s="1065">
        <f>VLOOKUP("TV GERAL 1 09 40H",RHE,12,FALSE)</f>
        <v>260</v>
      </c>
      <c r="O17" s="1066"/>
    </row>
    <row r="18" spans="2:15" ht="17.25" customHeight="1">
      <c r="B18" s="66" t="s">
        <v>869</v>
      </c>
      <c r="C18" s="65">
        <f t="shared" si="0"/>
        <v>1228.82</v>
      </c>
      <c r="E18" s="1044"/>
      <c r="F18" s="1062" t="s">
        <v>1292</v>
      </c>
      <c r="G18" s="1063" t="s">
        <v>1557</v>
      </c>
      <c r="H18" s="1064">
        <f>VLOOKUP("TV GERAL 1 10 40H",RHE,10,FALSE)</f>
        <v>1228.82</v>
      </c>
      <c r="I18" s="1065">
        <f>VLOOKUP("TV GERAL 1 10 40H",RHE,12,FALSE)</f>
        <v>260</v>
      </c>
      <c r="J18" s="1067"/>
      <c r="K18" s="1062" t="s">
        <v>1304</v>
      </c>
      <c r="L18" s="1063" t="s">
        <v>1558</v>
      </c>
      <c r="M18" s="1065">
        <f>VLOOKUP("TV GERAL 1 22 40H",RHE,10,FALSE)</f>
        <v>1662.36</v>
      </c>
      <c r="N18" s="1065">
        <f>VLOOKUP("TV GERAL 1 10 40H",RHE,12,FALSE)</f>
        <v>260</v>
      </c>
      <c r="O18" s="1066"/>
    </row>
    <row r="19" spans="2:15" ht="17.25" customHeight="1">
      <c r="B19" s="66" t="s">
        <v>708</v>
      </c>
      <c r="C19" s="65">
        <f t="shared" si="0"/>
        <v>1228.82</v>
      </c>
      <c r="E19" s="1044"/>
      <c r="F19" s="1062" t="s">
        <v>1293</v>
      </c>
      <c r="G19" s="1063" t="s">
        <v>1559</v>
      </c>
      <c r="H19" s="1064">
        <f>VLOOKUP("TV GERAL 1 11 40H",RHE,10,FALSE)</f>
        <v>1228.82</v>
      </c>
      <c r="I19" s="1065">
        <f>VLOOKUP("TV GERAL 1 11 40H",RHE,12,FALSE)</f>
        <v>260</v>
      </c>
      <c r="J19" s="1067"/>
      <c r="K19" s="1062" t="s">
        <v>1305</v>
      </c>
      <c r="L19" s="1063" t="s">
        <v>1560</v>
      </c>
      <c r="M19" s="1065">
        <f>VLOOKUP("TV GERAL 1 23 40H",RHE,10,FALSE)</f>
        <v>1662.36</v>
      </c>
      <c r="N19" s="1065">
        <f>VLOOKUP("TV GERAL 1 11 40H",RHE,12,FALSE)</f>
        <v>260</v>
      </c>
      <c r="O19" s="1066"/>
    </row>
    <row r="20" spans="2:15" ht="17.25" customHeight="1">
      <c r="B20" s="66" t="s">
        <v>709</v>
      </c>
      <c r="C20" s="65">
        <f t="shared" si="0"/>
        <v>1290.26</v>
      </c>
      <c r="E20" s="1044"/>
      <c r="F20" s="1068" t="s">
        <v>1294</v>
      </c>
      <c r="G20" s="1069" t="s">
        <v>1561</v>
      </c>
      <c r="H20" s="1070">
        <f>VLOOKUP("TV GERAL 1 12 40H",RHE,10,FALSE)</f>
        <v>1290.26</v>
      </c>
      <c r="I20" s="1071">
        <f>VLOOKUP("TV GERAL 1 12 40H",RHE,12,FALSE)</f>
        <v>260</v>
      </c>
      <c r="J20" s="1067"/>
      <c r="K20" s="1068" t="s">
        <v>1306</v>
      </c>
      <c r="L20" s="1069" t="s">
        <v>1562</v>
      </c>
      <c r="M20" s="1071">
        <f>VLOOKUP("TV GERAL 1 24 40H",RHE,10,FALSE)</f>
        <v>1745.47</v>
      </c>
      <c r="N20" s="1071">
        <f>VLOOKUP("TV GERAL 1 12 40H",RHE,12,FALSE)</f>
        <v>260</v>
      </c>
      <c r="O20" s="1066"/>
    </row>
    <row r="21" spans="2:15" ht="17.25" customHeight="1">
      <c r="B21" s="66" t="s">
        <v>84</v>
      </c>
      <c r="C21" s="65">
        <f>M9</f>
        <v>1302.5</v>
      </c>
      <c r="E21" s="1044"/>
      <c r="F21" s="1045"/>
      <c r="G21" s="1046"/>
      <c r="H21" s="1045"/>
      <c r="I21" s="1045"/>
      <c r="J21" s="1047"/>
      <c r="K21" s="1047"/>
      <c r="L21" s="1048"/>
      <c r="M21" s="1047"/>
      <c r="N21" s="1047"/>
      <c r="O21" s="1066"/>
    </row>
    <row r="22" spans="2:15" ht="17.25" customHeight="1">
      <c r="B22" s="66" t="s">
        <v>85</v>
      </c>
      <c r="C22" s="65">
        <f aca="true" t="shared" si="1" ref="C22:C32">M10</f>
        <v>1367.63</v>
      </c>
      <c r="E22" s="1044"/>
      <c r="F22" s="1243" t="s">
        <v>1563</v>
      </c>
      <c r="G22" s="1244"/>
      <c r="H22" s="1244"/>
      <c r="I22" s="1244"/>
      <c r="J22" s="1244"/>
      <c r="K22" s="1244"/>
      <c r="L22" s="1244"/>
      <c r="M22" s="1244"/>
      <c r="N22" s="1245"/>
      <c r="O22" s="1072"/>
    </row>
    <row r="23" spans="2:15" ht="17.25" customHeight="1">
      <c r="B23" s="66" t="s">
        <v>715</v>
      </c>
      <c r="C23" s="65">
        <f t="shared" si="1"/>
        <v>1367.63</v>
      </c>
      <c r="E23" s="1044"/>
      <c r="F23" s="1051" t="s">
        <v>721</v>
      </c>
      <c r="G23" s="1052" t="s">
        <v>227</v>
      </c>
      <c r="H23" s="1053" t="s">
        <v>722</v>
      </c>
      <c r="I23" s="1053" t="s">
        <v>1538</v>
      </c>
      <c r="J23" s="1067"/>
      <c r="K23" s="1051" t="s">
        <v>721</v>
      </c>
      <c r="L23" s="1052" t="s">
        <v>227</v>
      </c>
      <c r="M23" s="1053" t="s">
        <v>722</v>
      </c>
      <c r="N23" s="1053" t="s">
        <v>1538</v>
      </c>
      <c r="O23" s="1055"/>
    </row>
    <row r="24" spans="2:15" ht="17.25" customHeight="1">
      <c r="B24" s="66" t="s">
        <v>716</v>
      </c>
      <c r="C24" s="65">
        <f t="shared" si="1"/>
        <v>1436.01</v>
      </c>
      <c r="E24" s="1044"/>
      <c r="F24" s="1073" t="s">
        <v>1342</v>
      </c>
      <c r="G24" s="1057" t="s">
        <v>1564</v>
      </c>
      <c r="H24" s="1074">
        <f>VLOOKUP("TV GERAL 2 01 40H",RHE,10,FALSE)</f>
        <v>444.06</v>
      </c>
      <c r="I24" s="1075">
        <f>VLOOKUP("TV GERAL 2 01 40H",RHE,12,FALSE)</f>
        <v>471.5</v>
      </c>
      <c r="J24" s="1067"/>
      <c r="K24" s="1056" t="s">
        <v>1370</v>
      </c>
      <c r="L24" s="1057" t="s">
        <v>1565</v>
      </c>
      <c r="M24" s="1076">
        <f>VLOOKUP("TV GERAL 2 19 40H",RHE,10,FALSE)</f>
        <v>688.88</v>
      </c>
      <c r="N24" s="1075">
        <f>VLOOKUP("TV GERAL 2 19 40H",RHE,12,FALSE)</f>
        <v>345</v>
      </c>
      <c r="O24" s="1055"/>
    </row>
    <row r="25" spans="2:15" ht="17.25" customHeight="1">
      <c r="B25" s="66" t="s">
        <v>717</v>
      </c>
      <c r="C25" s="65">
        <f t="shared" si="1"/>
        <v>1436.01</v>
      </c>
      <c r="E25" s="1044"/>
      <c r="F25" s="1062" t="s">
        <v>1343</v>
      </c>
      <c r="G25" s="1063" t="s">
        <v>1566</v>
      </c>
      <c r="H25" s="1077">
        <f>VLOOKUP("TV GERAL 2 02 40H",RHE,10,FALSE)</f>
        <v>466.26</v>
      </c>
      <c r="I25" s="1078">
        <f>VLOOKUP("TV GERAL 2 02 40H",RHE,12,FALSE)</f>
        <v>471.5</v>
      </c>
      <c r="J25" s="1067"/>
      <c r="K25" s="1062" t="s">
        <v>1371</v>
      </c>
      <c r="L25" s="1063" t="s">
        <v>1567</v>
      </c>
      <c r="M25" s="1077">
        <f>VLOOKUP("TV GERAL 2 20 40H",RHE,10,FALSE)</f>
        <v>723.33</v>
      </c>
      <c r="N25" s="1078">
        <f>VLOOKUP("TV GERAL 2 20 40H",RHE,12,FALSE)</f>
        <v>345</v>
      </c>
      <c r="O25" s="1055"/>
    </row>
    <row r="26" spans="2:15" ht="17.25" customHeight="1">
      <c r="B26" s="66" t="s">
        <v>718</v>
      </c>
      <c r="C26" s="65">
        <f t="shared" si="1"/>
        <v>1507.81</v>
      </c>
      <c r="E26" s="1044"/>
      <c r="F26" s="1062" t="s">
        <v>1344</v>
      </c>
      <c r="G26" s="1063" t="s">
        <v>1568</v>
      </c>
      <c r="H26" s="1077">
        <f>VLOOKUP("TV GERAL 2 03 40H",RHE,10,FALSE)</f>
        <v>466.26</v>
      </c>
      <c r="I26" s="1078">
        <f>VLOOKUP("TV GERAL 2 03 40H",RHE,12,FALSE)</f>
        <v>460</v>
      </c>
      <c r="J26" s="1067"/>
      <c r="K26" s="1062" t="s">
        <v>1372</v>
      </c>
      <c r="L26" s="1063" t="s">
        <v>1569</v>
      </c>
      <c r="M26" s="1077">
        <f>VLOOKUP("TV GERAL 2 21 40H",RHE,10,FALSE)</f>
        <v>723.33</v>
      </c>
      <c r="N26" s="1078">
        <f>VLOOKUP("TV GERAL 2 21 40H",RHE,12,FALSE)</f>
        <v>322</v>
      </c>
      <c r="O26" s="1055"/>
    </row>
    <row r="27" spans="2:15" ht="17.25" customHeight="1">
      <c r="B27" s="66" t="s">
        <v>719</v>
      </c>
      <c r="C27" s="65">
        <f t="shared" si="1"/>
        <v>1507.81</v>
      </c>
      <c r="E27" s="1044"/>
      <c r="F27" s="1062" t="s">
        <v>1345</v>
      </c>
      <c r="G27" s="1063" t="s">
        <v>1570</v>
      </c>
      <c r="H27" s="1077">
        <f>VLOOKUP("TV GERAL 2 04 40H",RHE,10,FALSE)</f>
        <v>489.58</v>
      </c>
      <c r="I27" s="1078">
        <f>VLOOKUP("TV GERAL 2 04 40H",RHE,12,FALSE)</f>
        <v>460</v>
      </c>
      <c r="J27" s="1067"/>
      <c r="K27" s="1062" t="s">
        <v>1373</v>
      </c>
      <c r="L27" s="1063" t="s">
        <v>1571</v>
      </c>
      <c r="M27" s="1077">
        <f>VLOOKUP("TV GERAL 2 22 40H",RHE,10,FALSE)</f>
        <v>759.49</v>
      </c>
      <c r="N27" s="1078">
        <f>VLOOKUP("TV GERAL 2 22 40H",RHE,12,FALSE)</f>
        <v>322</v>
      </c>
      <c r="O27" s="1055"/>
    </row>
    <row r="28" spans="2:15" ht="17.25" customHeight="1">
      <c r="B28" s="66" t="s">
        <v>720</v>
      </c>
      <c r="C28" s="65">
        <f t="shared" si="1"/>
        <v>1583.2</v>
      </c>
      <c r="E28" s="1044"/>
      <c r="F28" s="1062" t="s">
        <v>1356</v>
      </c>
      <c r="G28" s="1063" t="s">
        <v>1572</v>
      </c>
      <c r="H28" s="1077">
        <f>VLOOKUP("TV GERAL 2 05 40H",RHE,10,FALSE)</f>
        <v>489.58</v>
      </c>
      <c r="I28" s="1078">
        <f>VLOOKUP("TV GERAL 2 05 40H",RHE,12,FALSE)</f>
        <v>448.5</v>
      </c>
      <c r="J28" s="1047"/>
      <c r="K28" s="1062" t="s">
        <v>1374</v>
      </c>
      <c r="L28" s="1063" t="s">
        <v>1573</v>
      </c>
      <c r="M28" s="1077">
        <f>VLOOKUP("TV GERAL 2 23 40H",RHE,10,FALSE)</f>
        <v>759.49</v>
      </c>
      <c r="N28" s="1078">
        <f>VLOOKUP("TV GERAL 2 23 40H",RHE,12,FALSE)</f>
        <v>299</v>
      </c>
      <c r="O28" s="1055"/>
    </row>
    <row r="29" spans="2:15" ht="17.25" customHeight="1">
      <c r="B29" s="66" t="s">
        <v>870</v>
      </c>
      <c r="C29" s="65">
        <f t="shared" si="1"/>
        <v>1583.2</v>
      </c>
      <c r="E29" s="1044"/>
      <c r="F29" s="1062" t="s">
        <v>1357</v>
      </c>
      <c r="G29" s="1063" t="s">
        <v>1574</v>
      </c>
      <c r="H29" s="1077">
        <f>VLOOKUP("TV GERAL 2 06 40H",RHE,10,FALSE)</f>
        <v>514.05</v>
      </c>
      <c r="I29" s="1078">
        <f>VLOOKUP("TV GERAL 2 06 40H",RHE,12,FALSE)</f>
        <v>448.5</v>
      </c>
      <c r="J29" s="1047"/>
      <c r="K29" s="1062" t="s">
        <v>1375</v>
      </c>
      <c r="L29" s="1063" t="s">
        <v>1575</v>
      </c>
      <c r="M29" s="1077">
        <f>VLOOKUP("TV GERAL 2 24 40H",RHE,10,FALSE)</f>
        <v>797.47</v>
      </c>
      <c r="N29" s="1078">
        <f>VLOOKUP("TV GERAL 2 24 40H",RHE,12,FALSE)</f>
        <v>299</v>
      </c>
      <c r="O29" s="1055"/>
    </row>
    <row r="30" spans="2:15" ht="17.25" customHeight="1">
      <c r="B30" s="66" t="s">
        <v>871</v>
      </c>
      <c r="C30" s="65">
        <f t="shared" si="1"/>
        <v>1662.36</v>
      </c>
      <c r="E30" s="1044"/>
      <c r="F30" s="1062" t="s">
        <v>1358</v>
      </c>
      <c r="G30" s="1063" t="s">
        <v>1576</v>
      </c>
      <c r="H30" s="1077">
        <f>VLOOKUP("TV GERAL 2 07 40H",RHE,10,FALSE)</f>
        <v>514.05</v>
      </c>
      <c r="I30" s="1078">
        <f>VLOOKUP("TV GERAL 2 07 40H",RHE,12,FALSE)</f>
        <v>437</v>
      </c>
      <c r="J30" s="1079"/>
      <c r="K30" s="1062" t="s">
        <v>1376</v>
      </c>
      <c r="L30" s="1063" t="s">
        <v>1577</v>
      </c>
      <c r="M30" s="1077">
        <f>VLOOKUP("TV GERAL 2 25 40H",RHE,10,FALSE)</f>
        <v>962.81</v>
      </c>
      <c r="N30" s="1078">
        <f>VLOOKUP("TV GERAL 2 25 40H",RHE,12,FALSE)</f>
        <v>280</v>
      </c>
      <c r="O30" s="1055"/>
    </row>
    <row r="31" spans="2:15" ht="17.25" customHeight="1">
      <c r="B31" s="66" t="s">
        <v>879</v>
      </c>
      <c r="C31" s="65">
        <f t="shared" si="1"/>
        <v>1662.36</v>
      </c>
      <c r="E31" s="1044"/>
      <c r="F31" s="1062" t="s">
        <v>1359</v>
      </c>
      <c r="G31" s="1063" t="s">
        <v>1578</v>
      </c>
      <c r="H31" s="1077">
        <f>VLOOKUP("TV GERAL 2 08 40H",RHE,10,FALSE)</f>
        <v>539.76</v>
      </c>
      <c r="I31" s="1078">
        <f>VLOOKUP("TV GERAL 2 08 40H",RHE,12,FALSE)</f>
        <v>437</v>
      </c>
      <c r="J31" s="1079"/>
      <c r="K31" s="1062" t="s">
        <v>1377</v>
      </c>
      <c r="L31" s="1063" t="s">
        <v>1579</v>
      </c>
      <c r="M31" s="1077">
        <f>VLOOKUP("TV GERAL 2 26 40H",RHE,10,FALSE)</f>
        <v>1010.95</v>
      </c>
      <c r="N31" s="1078">
        <f>VLOOKUP("TV GERAL 2 26 40H",RHE,12,FALSE)</f>
        <v>280</v>
      </c>
      <c r="O31" s="1080"/>
    </row>
    <row r="32" spans="2:15" ht="17.25" customHeight="1">
      <c r="B32" s="66" t="s">
        <v>880</v>
      </c>
      <c r="C32" s="65">
        <f t="shared" si="1"/>
        <v>1745.47</v>
      </c>
      <c r="E32" s="1044"/>
      <c r="F32" s="1062" t="s">
        <v>1360</v>
      </c>
      <c r="G32" s="1063" t="s">
        <v>1580</v>
      </c>
      <c r="H32" s="1077">
        <f>VLOOKUP("TV GERAL 2 09 40H",RHE,10,FALSE)</f>
        <v>539.76</v>
      </c>
      <c r="I32" s="1078">
        <f>VLOOKUP("TV GERAL 2 09 40H",RHE,12,FALSE)</f>
        <v>425.5</v>
      </c>
      <c r="J32" s="1047"/>
      <c r="K32" s="1062" t="s">
        <v>1378</v>
      </c>
      <c r="L32" s="1063" t="s">
        <v>1581</v>
      </c>
      <c r="M32" s="1077">
        <f>VLOOKUP("TV GERAL 2 27 40H",RHE,10,FALSE)</f>
        <v>1010.95</v>
      </c>
      <c r="N32" s="1078">
        <f>VLOOKUP("TV GERAL 2 27 40H",RHE,12,FALSE)</f>
        <v>280</v>
      </c>
      <c r="O32" s="1080"/>
    </row>
    <row r="33" spans="2:15" ht="17.25" customHeight="1">
      <c r="B33" s="66" t="s">
        <v>821</v>
      </c>
      <c r="C33" s="65">
        <f>H24</f>
        <v>444.06</v>
      </c>
      <c r="E33" s="1044"/>
      <c r="F33" s="1062" t="s">
        <v>1361</v>
      </c>
      <c r="G33" s="1063" t="s">
        <v>1582</v>
      </c>
      <c r="H33" s="1077">
        <f>VLOOKUP("TV GERAL 2 10 40H",RHE,10,FALSE)</f>
        <v>566.75</v>
      </c>
      <c r="I33" s="1078">
        <f>VLOOKUP("TV GERAL 2 10 40H",RHE,12,FALSE)</f>
        <v>425.5</v>
      </c>
      <c r="J33" s="1067"/>
      <c r="K33" s="1062" t="s">
        <v>1379</v>
      </c>
      <c r="L33" s="1063" t="s">
        <v>1583</v>
      </c>
      <c r="M33" s="1077">
        <f>VLOOKUP("TV GERAL 2 28 40H",RHE,10,FALSE)</f>
        <v>1061.5</v>
      </c>
      <c r="N33" s="1078">
        <f>VLOOKUP("TV GERAL 2 28 40H",RHE,12,FALSE)</f>
        <v>280</v>
      </c>
      <c r="O33" s="1055"/>
    </row>
    <row r="34" spans="2:15" ht="17.25" customHeight="1">
      <c r="B34" s="66" t="s">
        <v>822</v>
      </c>
      <c r="C34" s="65">
        <f>H25</f>
        <v>466.26</v>
      </c>
      <c r="E34" s="1044"/>
      <c r="F34" s="1062" t="s">
        <v>1362</v>
      </c>
      <c r="G34" s="1063" t="s">
        <v>1584</v>
      </c>
      <c r="H34" s="1077">
        <f>VLOOKUP("TV GERAL 2 11 40H",RHE,10,FALSE)</f>
        <v>566.75</v>
      </c>
      <c r="I34" s="1078">
        <f>VLOOKUP("TV GERAL 2 11 40H",RHE,12,FALSE)</f>
        <v>414</v>
      </c>
      <c r="J34" s="1067"/>
      <c r="K34" s="1062" t="s">
        <v>1380</v>
      </c>
      <c r="L34" s="1063" t="s">
        <v>1585</v>
      </c>
      <c r="M34" s="1077">
        <f>VLOOKUP("TV GERAL 2 29 40H",RHE,10,FALSE)</f>
        <v>1061.5</v>
      </c>
      <c r="N34" s="1078">
        <f>VLOOKUP("TV GERAL 2 29 40H",RHE,12,FALSE)</f>
        <v>270</v>
      </c>
      <c r="O34" s="1081"/>
    </row>
    <row r="35" spans="2:15" ht="17.25" customHeight="1">
      <c r="B35" s="66" t="s">
        <v>823</v>
      </c>
      <c r="C35" s="65">
        <f aca="true" t="shared" si="2" ref="C35:C50">H26</f>
        <v>466.26</v>
      </c>
      <c r="E35" s="1044"/>
      <c r="F35" s="1062" t="s">
        <v>1363</v>
      </c>
      <c r="G35" s="1063" t="s">
        <v>1586</v>
      </c>
      <c r="H35" s="1077">
        <f>VLOOKUP("TV GERAL 2 12 40H",RHE,10,FALSE)</f>
        <v>595.08</v>
      </c>
      <c r="I35" s="1078">
        <f>VLOOKUP("TV GERAL 2 12 40H",RHE,12,FALSE)</f>
        <v>414</v>
      </c>
      <c r="J35" s="1067"/>
      <c r="K35" s="1062" t="s">
        <v>1381</v>
      </c>
      <c r="L35" s="1063" t="s">
        <v>1587</v>
      </c>
      <c r="M35" s="1077">
        <f>VLOOKUP("TV GERAL 2 30 40H",RHE,10,FALSE)</f>
        <v>1114.57</v>
      </c>
      <c r="N35" s="1078">
        <f>VLOOKUP("TV GERAL 2 30 40H",RHE,12,FALSE)</f>
        <v>270</v>
      </c>
      <c r="O35" s="1081"/>
    </row>
    <row r="36" spans="2:15" ht="17.25" customHeight="1">
      <c r="B36" s="66" t="s">
        <v>824</v>
      </c>
      <c r="C36" s="65">
        <f t="shared" si="2"/>
        <v>489.58</v>
      </c>
      <c r="E36" s="1044"/>
      <c r="F36" s="1062" t="s">
        <v>1364</v>
      </c>
      <c r="G36" s="1063" t="s">
        <v>1588</v>
      </c>
      <c r="H36" s="1077">
        <f>VLOOKUP("TV GERAL 2 13 40H",RHE,10,FALSE)</f>
        <v>595.08</v>
      </c>
      <c r="I36" s="1078">
        <f>VLOOKUP("TV GERAL 2 13 40H",RHE,12,FALSE)</f>
        <v>402.5</v>
      </c>
      <c r="J36" s="1067"/>
      <c r="K36" s="1062" t="s">
        <v>1382</v>
      </c>
      <c r="L36" s="1063" t="s">
        <v>1589</v>
      </c>
      <c r="M36" s="1077">
        <f>VLOOKUP("TV GERAL 2 31 40H",RHE,10,FALSE)</f>
        <v>1114.57</v>
      </c>
      <c r="N36" s="1078">
        <f>VLOOKUP("TV GERAL 2 31 40H",RHE,12,FALSE)</f>
        <v>270</v>
      </c>
      <c r="O36" s="1081"/>
    </row>
    <row r="37" spans="2:15" ht="17.25" customHeight="1">
      <c r="B37" s="66" t="s">
        <v>825</v>
      </c>
      <c r="C37" s="65">
        <f t="shared" si="2"/>
        <v>489.58</v>
      </c>
      <c r="E37" s="1044"/>
      <c r="F37" s="1062" t="s">
        <v>1365</v>
      </c>
      <c r="G37" s="1063" t="s">
        <v>1590</v>
      </c>
      <c r="H37" s="1077">
        <f>VLOOKUP("TV GERAL 2 14 40H",RHE,10,FALSE)</f>
        <v>624.84</v>
      </c>
      <c r="I37" s="1078">
        <f>VLOOKUP("TV GERAL 2 14 40H",RHE,12,FALSE)</f>
        <v>402.5</v>
      </c>
      <c r="J37" s="1067"/>
      <c r="K37" s="1062" t="s">
        <v>1383</v>
      </c>
      <c r="L37" s="1063" t="s">
        <v>1591</v>
      </c>
      <c r="M37" s="1077">
        <f>VLOOKUP("TV GERAL 2 32 40H",RHE,10,FALSE)</f>
        <v>1170.3</v>
      </c>
      <c r="N37" s="1078">
        <f>VLOOKUP("TV GERAL 2 32 40H",RHE,12,FALSE)</f>
        <v>270</v>
      </c>
      <c r="O37" s="1081"/>
    </row>
    <row r="38" spans="2:15" ht="17.25" customHeight="1">
      <c r="B38" s="66" t="s">
        <v>826</v>
      </c>
      <c r="C38" s="65">
        <f t="shared" si="2"/>
        <v>514.05</v>
      </c>
      <c r="E38" s="1044"/>
      <c r="F38" s="1062" t="s">
        <v>1366</v>
      </c>
      <c r="G38" s="1063" t="s">
        <v>1592</v>
      </c>
      <c r="H38" s="1077">
        <f>VLOOKUP("TV GERAL 2 15 40H",RHE,10,FALSE)</f>
        <v>624.84</v>
      </c>
      <c r="I38" s="1078">
        <f>VLOOKUP("TV GERAL 2 15 40H",RHE,12,FALSE)</f>
        <v>391</v>
      </c>
      <c r="J38" s="1067"/>
      <c r="K38" s="1062" t="s">
        <v>1384</v>
      </c>
      <c r="L38" s="1063" t="s">
        <v>1593</v>
      </c>
      <c r="M38" s="1077">
        <f>VLOOKUP("TV GERAL 2 33 40H",RHE,10,FALSE)</f>
        <v>1170.3</v>
      </c>
      <c r="N38" s="1078">
        <f>VLOOKUP("TV GERAL 2 33 40H",RHE,12,FALSE)</f>
        <v>260</v>
      </c>
      <c r="O38" s="1081"/>
    </row>
    <row r="39" spans="2:15" ht="17.25" customHeight="1">
      <c r="B39" s="66" t="s">
        <v>827</v>
      </c>
      <c r="C39" s="65">
        <f t="shared" si="2"/>
        <v>514.05</v>
      </c>
      <c r="E39" s="1044"/>
      <c r="F39" s="1062" t="s">
        <v>1367</v>
      </c>
      <c r="G39" s="1063" t="s">
        <v>1594</v>
      </c>
      <c r="H39" s="1077">
        <f>VLOOKUP("TV GERAL 2 16 40H",RHE,10,FALSE)</f>
        <v>656.08</v>
      </c>
      <c r="I39" s="1078">
        <f>VLOOKUP("TV GERAL 2 16 40H",RHE,12,FALSE)</f>
        <v>391</v>
      </c>
      <c r="J39" s="1047"/>
      <c r="K39" s="1062" t="s">
        <v>1385</v>
      </c>
      <c r="L39" s="1063" t="s">
        <v>1595</v>
      </c>
      <c r="M39" s="1077">
        <f>VLOOKUP("TV GERAL 2 34 40H",RHE,10,FALSE)</f>
        <v>1228.82</v>
      </c>
      <c r="N39" s="1078">
        <f>VLOOKUP("TV GERAL 2 34 40H",RHE,12,FALSE)</f>
        <v>260</v>
      </c>
      <c r="O39" s="1081"/>
    </row>
    <row r="40" spans="2:15" ht="17.25" customHeight="1">
      <c r="B40" s="66" t="s">
        <v>800</v>
      </c>
      <c r="C40" s="65">
        <f t="shared" si="2"/>
        <v>539.76</v>
      </c>
      <c r="E40" s="1044"/>
      <c r="F40" s="1062" t="s">
        <v>1368</v>
      </c>
      <c r="G40" s="1063" t="s">
        <v>1596</v>
      </c>
      <c r="H40" s="1077">
        <f>VLOOKUP("TV GERAL 2 17 40H",RHE,10,FALSE)</f>
        <v>656.08</v>
      </c>
      <c r="I40" s="1078">
        <f>VLOOKUP("TV GERAL 2 17 40H",RHE,12,FALSE)</f>
        <v>368</v>
      </c>
      <c r="J40" s="1047"/>
      <c r="K40" s="1062" t="s">
        <v>1386</v>
      </c>
      <c r="L40" s="1063" t="s">
        <v>1597</v>
      </c>
      <c r="M40" s="1077">
        <f>VLOOKUP("TV GERAL 2 35 40H",RHE,10,FALSE)</f>
        <v>1228.82</v>
      </c>
      <c r="N40" s="1078">
        <f>VLOOKUP("TV GERAL 2 35 40H",RHE,12,FALSE)</f>
        <v>260</v>
      </c>
      <c r="O40" s="1055"/>
    </row>
    <row r="41" spans="2:15" ht="17.25" customHeight="1">
      <c r="B41" s="66" t="s">
        <v>801</v>
      </c>
      <c r="C41" s="65">
        <f t="shared" si="2"/>
        <v>539.76</v>
      </c>
      <c r="E41" s="1044"/>
      <c r="F41" s="1068" t="s">
        <v>1369</v>
      </c>
      <c r="G41" s="1069" t="s">
        <v>1598</v>
      </c>
      <c r="H41" s="1082">
        <f>VLOOKUP("TV GERAL 2 18 40H",RHE,10,FALSE)</f>
        <v>688.88</v>
      </c>
      <c r="I41" s="1071">
        <f>VLOOKUP("TV GERAL 2 18 40H",RHE,12,FALSE)</f>
        <v>368</v>
      </c>
      <c r="J41" s="1047"/>
      <c r="K41" s="1068" t="s">
        <v>1387</v>
      </c>
      <c r="L41" s="1069" t="s">
        <v>1599</v>
      </c>
      <c r="M41" s="1082">
        <f>VLOOKUP("TV GERAL 2 36 40H",RHE,10,FALSE)</f>
        <v>1290.26</v>
      </c>
      <c r="N41" s="1071">
        <f>VLOOKUP("TV GERAL 2 36 40H",RHE,12,FALSE)</f>
        <v>260</v>
      </c>
      <c r="O41" s="1055"/>
    </row>
    <row r="42" spans="2:15" ht="17.25" customHeight="1">
      <c r="B42" s="66" t="s">
        <v>802</v>
      </c>
      <c r="C42" s="65">
        <f t="shared" si="2"/>
        <v>566.75</v>
      </c>
      <c r="E42" s="1044"/>
      <c r="F42" s="1045"/>
      <c r="G42" s="1046"/>
      <c r="H42" s="1045"/>
      <c r="I42" s="1045"/>
      <c r="J42" s="1047"/>
      <c r="K42" s="1047"/>
      <c r="L42" s="1048"/>
      <c r="M42" s="1047"/>
      <c r="N42" s="1047"/>
      <c r="O42" s="1055"/>
    </row>
    <row r="43" spans="2:15" ht="17.25" customHeight="1">
      <c r="B43" s="66" t="s">
        <v>803</v>
      </c>
      <c r="C43" s="65">
        <f t="shared" si="2"/>
        <v>566.75</v>
      </c>
      <c r="E43" s="1044"/>
      <c r="F43" s="1243" t="s">
        <v>1600</v>
      </c>
      <c r="G43" s="1244"/>
      <c r="H43" s="1244"/>
      <c r="I43" s="1244"/>
      <c r="J43" s="1244"/>
      <c r="K43" s="1244"/>
      <c r="L43" s="1244"/>
      <c r="M43" s="1245"/>
      <c r="N43" s="1095"/>
      <c r="O43" s="1055"/>
    </row>
    <row r="44" spans="2:15" ht="17.25" customHeight="1">
      <c r="B44" s="66" t="s">
        <v>96</v>
      </c>
      <c r="C44" s="65">
        <f t="shared" si="2"/>
        <v>595.08</v>
      </c>
      <c r="E44" s="1044"/>
      <c r="F44" s="1056" t="s">
        <v>917</v>
      </c>
      <c r="G44" s="1057" t="s">
        <v>1601</v>
      </c>
      <c r="H44" s="1075">
        <f>ROUNDDOWN((PISONOVO_40H)*0.2,2)</f>
        <v>88.81</v>
      </c>
      <c r="I44" s="1083"/>
      <c r="J44" s="1047"/>
      <c r="K44" s="1056" t="s">
        <v>1348</v>
      </c>
      <c r="L44" s="1057" t="s">
        <v>1602</v>
      </c>
      <c r="M44" s="1075">
        <f>ROUNDDOWN((PISONOVO_40H)*0.8,2)</f>
        <v>355.24</v>
      </c>
      <c r="N44" s="1096"/>
      <c r="O44" s="1055"/>
    </row>
    <row r="45" spans="2:15" ht="17.25" customHeight="1">
      <c r="B45" s="66" t="s">
        <v>97</v>
      </c>
      <c r="C45" s="65">
        <f t="shared" si="2"/>
        <v>595.08</v>
      </c>
      <c r="E45" s="1044"/>
      <c r="F45" s="1062" t="s">
        <v>1346</v>
      </c>
      <c r="G45" s="1063" t="s">
        <v>1603</v>
      </c>
      <c r="H45" s="1078">
        <f>ROUNDDOWN((PISONOVO_40H)*0.4,2)</f>
        <v>177.62</v>
      </c>
      <c r="I45" s="1083"/>
      <c r="J45" s="1047"/>
      <c r="K45" s="1062" t="s">
        <v>1349</v>
      </c>
      <c r="L45" s="1063" t="s">
        <v>1604</v>
      </c>
      <c r="M45" s="1078">
        <f>PISONOVO_40H</f>
        <v>444.06</v>
      </c>
      <c r="N45" s="1096"/>
      <c r="O45" s="1055"/>
    </row>
    <row r="46" spans="2:15" ht="17.25" customHeight="1">
      <c r="B46" s="66" t="s">
        <v>98</v>
      </c>
      <c r="C46" s="65">
        <f t="shared" si="2"/>
        <v>624.84</v>
      </c>
      <c r="E46" s="1044"/>
      <c r="F46" s="1068" t="s">
        <v>1347</v>
      </c>
      <c r="G46" s="1069" t="s">
        <v>1605</v>
      </c>
      <c r="H46" s="1084">
        <f>ROUNDDOWN((PISONOVO_40H)*0.6,2)</f>
        <v>266.43</v>
      </c>
      <c r="I46" s="1083"/>
      <c r="J46" s="1047"/>
      <c r="K46" s="1068" t="s">
        <v>1606</v>
      </c>
      <c r="L46" s="1069" t="s">
        <v>1607</v>
      </c>
      <c r="M46" s="1084">
        <f>ROUNDDOWN((PISONOVO_40H)*0.1,2)</f>
        <v>44.4</v>
      </c>
      <c r="N46" s="1096"/>
      <c r="O46" s="1055"/>
    </row>
    <row r="47" spans="2:15" ht="17.25" customHeight="1">
      <c r="B47" s="66" t="s">
        <v>99</v>
      </c>
      <c r="C47" s="65">
        <f t="shared" si="2"/>
        <v>624.84</v>
      </c>
      <c r="E47" s="1085"/>
      <c r="F47" s="1086"/>
      <c r="G47" s="1087"/>
      <c r="H47" s="1086"/>
      <c r="I47" s="1086"/>
      <c r="J47" s="1088"/>
      <c r="K47" s="1088"/>
      <c r="L47" s="1089"/>
      <c r="M47" s="1088"/>
      <c r="N47" s="1088"/>
      <c r="O47" s="1090"/>
    </row>
    <row r="48" spans="2:3" ht="17.25" customHeight="1">
      <c r="B48" s="66" t="s">
        <v>100</v>
      </c>
      <c r="C48" s="65">
        <f t="shared" si="2"/>
        <v>656.08</v>
      </c>
    </row>
    <row r="49" spans="2:15" ht="17.25" customHeight="1">
      <c r="B49" s="66" t="s">
        <v>101</v>
      </c>
      <c r="C49" s="65">
        <f t="shared" si="2"/>
        <v>656.08</v>
      </c>
      <c r="M49" s="1047"/>
      <c r="N49" s="1047"/>
      <c r="O49" s="1047"/>
    </row>
    <row r="50" spans="2:15" ht="17.25" customHeight="1">
      <c r="B50" s="66" t="s">
        <v>102</v>
      </c>
      <c r="C50" s="65">
        <f t="shared" si="2"/>
        <v>688.88</v>
      </c>
      <c r="M50" s="1047"/>
      <c r="N50" s="1047"/>
      <c r="O50" s="1047"/>
    </row>
    <row r="51" spans="2:15" ht="17.25" customHeight="1">
      <c r="B51" s="66" t="s">
        <v>103</v>
      </c>
      <c r="C51" s="65">
        <f>M24</f>
        <v>688.88</v>
      </c>
      <c r="M51" s="1047"/>
      <c r="N51" s="1047"/>
      <c r="O51" s="1047"/>
    </row>
    <row r="52" spans="2:15" ht="17.25" customHeight="1">
      <c r="B52" s="66" t="s">
        <v>104</v>
      </c>
      <c r="C52" s="65">
        <f aca="true" t="shared" si="3" ref="C52:C68">M25</f>
        <v>723.33</v>
      </c>
      <c r="M52" s="1047"/>
      <c r="N52" s="1047"/>
      <c r="O52" s="1047"/>
    </row>
    <row r="53" spans="2:15" ht="17.25" customHeight="1">
      <c r="B53" s="66" t="s">
        <v>105</v>
      </c>
      <c r="C53" s="65">
        <f t="shared" si="3"/>
        <v>723.33</v>
      </c>
      <c r="M53" s="1047"/>
      <c r="N53" s="1047"/>
      <c r="O53" s="1047"/>
    </row>
    <row r="54" spans="2:9" ht="17.25" customHeight="1">
      <c r="B54" s="66" t="s">
        <v>106</v>
      </c>
      <c r="C54" s="65">
        <f t="shared" si="3"/>
        <v>759.49</v>
      </c>
      <c r="F54" s="1091"/>
      <c r="H54" s="1091"/>
      <c r="I54" s="1091"/>
    </row>
    <row r="55" spans="2:3" ht="17.25" customHeight="1">
      <c r="B55" s="66" t="s">
        <v>107</v>
      </c>
      <c r="C55" s="65">
        <f t="shared" si="3"/>
        <v>759.49</v>
      </c>
    </row>
    <row r="56" spans="2:3" ht="17.25" customHeight="1">
      <c r="B56" s="66" t="s">
        <v>108</v>
      </c>
      <c r="C56" s="65">
        <f t="shared" si="3"/>
        <v>797.47</v>
      </c>
    </row>
    <row r="57" spans="2:3" ht="17.25" customHeight="1">
      <c r="B57" s="66" t="s">
        <v>109</v>
      </c>
      <c r="C57" s="65">
        <f t="shared" si="3"/>
        <v>962.81</v>
      </c>
    </row>
    <row r="58" spans="2:3" ht="17.25" customHeight="1">
      <c r="B58" s="66" t="s">
        <v>110</v>
      </c>
      <c r="C58" s="65">
        <f t="shared" si="3"/>
        <v>1010.95</v>
      </c>
    </row>
    <row r="59" spans="2:3" ht="17.25" customHeight="1">
      <c r="B59" s="66" t="s">
        <v>111</v>
      </c>
      <c r="C59" s="65">
        <f t="shared" si="3"/>
        <v>1010.95</v>
      </c>
    </row>
    <row r="60" spans="2:3" ht="17.25" customHeight="1">
      <c r="B60" s="66" t="s">
        <v>112</v>
      </c>
      <c r="C60" s="65">
        <f t="shared" si="3"/>
        <v>1061.5</v>
      </c>
    </row>
    <row r="61" spans="2:3" ht="17.25" customHeight="1">
      <c r="B61" s="66" t="s">
        <v>113</v>
      </c>
      <c r="C61" s="65">
        <f t="shared" si="3"/>
        <v>1061.5</v>
      </c>
    </row>
    <row r="62" spans="2:3" ht="17.25" customHeight="1">
      <c r="B62" s="66" t="s">
        <v>114</v>
      </c>
      <c r="C62" s="65">
        <f t="shared" si="3"/>
        <v>1114.57</v>
      </c>
    </row>
    <row r="63" spans="2:3" ht="17.25" customHeight="1">
      <c r="B63" s="66" t="s">
        <v>115</v>
      </c>
      <c r="C63" s="65">
        <f t="shared" si="3"/>
        <v>1114.57</v>
      </c>
    </row>
    <row r="64" spans="2:3" ht="17.25" customHeight="1">
      <c r="B64" s="66" t="s">
        <v>116</v>
      </c>
      <c r="C64" s="65">
        <f t="shared" si="3"/>
        <v>1170.3</v>
      </c>
    </row>
    <row r="65" spans="2:3" ht="17.25" customHeight="1">
      <c r="B65" s="66" t="s">
        <v>117</v>
      </c>
      <c r="C65" s="65">
        <f t="shared" si="3"/>
        <v>1170.3</v>
      </c>
    </row>
    <row r="66" spans="2:3" ht="17.25" customHeight="1">
      <c r="B66" s="66" t="s">
        <v>118</v>
      </c>
      <c r="C66" s="65">
        <f t="shared" si="3"/>
        <v>1228.82</v>
      </c>
    </row>
    <row r="67" spans="2:3" ht="17.25" customHeight="1">
      <c r="B67" s="66" t="s">
        <v>119</v>
      </c>
      <c r="C67" s="65">
        <f t="shared" si="3"/>
        <v>1228.82</v>
      </c>
    </row>
    <row r="68" spans="2:3" ht="17.25" customHeight="1" thickBot="1">
      <c r="B68" s="67" t="s">
        <v>120</v>
      </c>
      <c r="C68" s="83">
        <f t="shared" si="3"/>
        <v>1290.26</v>
      </c>
    </row>
    <row r="69" spans="2:3" ht="17.25" customHeight="1">
      <c r="B69" s="64" t="s">
        <v>1608</v>
      </c>
      <c r="C69" s="65">
        <f>I9</f>
        <v>280</v>
      </c>
    </row>
    <row r="70" spans="2:3" ht="17.25" customHeight="1">
      <c r="B70" s="66" t="s">
        <v>1609</v>
      </c>
      <c r="C70" s="65">
        <f aca="true" t="shared" si="4" ref="C70:C80">I10</f>
        <v>280</v>
      </c>
    </row>
    <row r="71" spans="2:3" ht="17.25" customHeight="1">
      <c r="B71" s="66" t="s">
        <v>1610</v>
      </c>
      <c r="C71" s="65">
        <f t="shared" si="4"/>
        <v>280</v>
      </c>
    </row>
    <row r="72" spans="2:3" ht="17.25" customHeight="1">
      <c r="B72" s="66" t="s">
        <v>1611</v>
      </c>
      <c r="C72" s="65">
        <f t="shared" si="4"/>
        <v>280</v>
      </c>
    </row>
    <row r="73" spans="2:3" ht="17.25" customHeight="1">
      <c r="B73" s="66" t="s">
        <v>1612</v>
      </c>
      <c r="C73" s="65">
        <f t="shared" si="4"/>
        <v>270</v>
      </c>
    </row>
    <row r="74" spans="2:3" ht="17.25" customHeight="1">
      <c r="B74" s="66" t="s">
        <v>1613</v>
      </c>
      <c r="C74" s="65">
        <f t="shared" si="4"/>
        <v>270</v>
      </c>
    </row>
    <row r="75" spans="2:3" ht="17.25" customHeight="1">
      <c r="B75" s="66" t="s">
        <v>1614</v>
      </c>
      <c r="C75" s="65">
        <f t="shared" si="4"/>
        <v>270</v>
      </c>
    </row>
    <row r="76" spans="2:3" ht="17.25" customHeight="1">
      <c r="B76" s="66" t="s">
        <v>1615</v>
      </c>
      <c r="C76" s="65">
        <f t="shared" si="4"/>
        <v>270</v>
      </c>
    </row>
    <row r="77" spans="2:3" ht="17.25" customHeight="1">
      <c r="B77" s="66" t="s">
        <v>1616</v>
      </c>
      <c r="C77" s="65">
        <f t="shared" si="4"/>
        <v>260</v>
      </c>
    </row>
    <row r="78" spans="2:3" ht="17.25" customHeight="1">
      <c r="B78" s="66" t="s">
        <v>1617</v>
      </c>
      <c r="C78" s="65">
        <f t="shared" si="4"/>
        <v>260</v>
      </c>
    </row>
    <row r="79" spans="2:3" ht="17.25" customHeight="1">
      <c r="B79" s="66" t="s">
        <v>1618</v>
      </c>
      <c r="C79" s="65">
        <f t="shared" si="4"/>
        <v>260</v>
      </c>
    </row>
    <row r="80" spans="2:3" ht="17.25" customHeight="1">
      <c r="B80" s="66" t="s">
        <v>1619</v>
      </c>
      <c r="C80" s="65">
        <f t="shared" si="4"/>
        <v>260</v>
      </c>
    </row>
    <row r="81" spans="2:3" ht="17.25" customHeight="1">
      <c r="B81" s="66" t="s">
        <v>1620</v>
      </c>
      <c r="C81" s="65">
        <f>N9</f>
        <v>280</v>
      </c>
    </row>
    <row r="82" spans="2:3" ht="17.25" customHeight="1">
      <c r="B82" s="66" t="s">
        <v>1621</v>
      </c>
      <c r="C82" s="65">
        <f aca="true" t="shared" si="5" ref="C82:C92">N10</f>
        <v>280</v>
      </c>
    </row>
    <row r="83" spans="2:3" ht="17.25" customHeight="1">
      <c r="B83" s="66" t="s">
        <v>1622</v>
      </c>
      <c r="C83" s="65">
        <f t="shared" si="5"/>
        <v>280</v>
      </c>
    </row>
    <row r="84" spans="2:3" ht="17.25" customHeight="1">
      <c r="B84" s="66" t="s">
        <v>1623</v>
      </c>
      <c r="C84" s="65">
        <f t="shared" si="5"/>
        <v>280</v>
      </c>
    </row>
    <row r="85" spans="2:3" ht="17.25" customHeight="1">
      <c r="B85" s="66" t="s">
        <v>1624</v>
      </c>
      <c r="C85" s="65">
        <f t="shared" si="5"/>
        <v>270</v>
      </c>
    </row>
    <row r="86" spans="2:3" ht="17.25" customHeight="1">
      <c r="B86" s="66" t="s">
        <v>1625</v>
      </c>
      <c r="C86" s="65">
        <f t="shared" si="5"/>
        <v>270</v>
      </c>
    </row>
    <row r="87" spans="2:3" ht="17.25" customHeight="1">
      <c r="B87" s="66" t="s">
        <v>1626</v>
      </c>
      <c r="C87" s="65">
        <f t="shared" si="5"/>
        <v>270</v>
      </c>
    </row>
    <row r="88" spans="2:3" ht="17.25" customHeight="1">
      <c r="B88" s="66" t="s">
        <v>1627</v>
      </c>
      <c r="C88" s="65">
        <f t="shared" si="5"/>
        <v>270</v>
      </c>
    </row>
    <row r="89" spans="2:3" ht="17.25" customHeight="1">
      <c r="B89" s="66" t="s">
        <v>1628</v>
      </c>
      <c r="C89" s="65">
        <f t="shared" si="5"/>
        <v>260</v>
      </c>
    </row>
    <row r="90" spans="2:3" ht="17.25" customHeight="1">
      <c r="B90" s="66" t="s">
        <v>1629</v>
      </c>
      <c r="C90" s="65">
        <f t="shared" si="5"/>
        <v>260</v>
      </c>
    </row>
    <row r="91" spans="2:3" ht="17.25" customHeight="1">
      <c r="B91" s="66" t="s">
        <v>1630</v>
      </c>
      <c r="C91" s="65">
        <f t="shared" si="5"/>
        <v>260</v>
      </c>
    </row>
    <row r="92" spans="2:3" ht="17.25" customHeight="1">
      <c r="B92" s="66" t="s">
        <v>1631</v>
      </c>
      <c r="C92" s="65">
        <f t="shared" si="5"/>
        <v>260</v>
      </c>
    </row>
    <row r="93" spans="2:3" ht="17.25" customHeight="1">
      <c r="B93" s="66" t="s">
        <v>1632</v>
      </c>
      <c r="C93" s="65">
        <f>I24</f>
        <v>471.5</v>
      </c>
    </row>
    <row r="94" spans="2:3" ht="17.25" customHeight="1">
      <c r="B94" s="66" t="s">
        <v>1633</v>
      </c>
      <c r="C94" s="65">
        <f aca="true" t="shared" si="6" ref="C94:C110">I25</f>
        <v>471.5</v>
      </c>
    </row>
    <row r="95" spans="2:3" ht="17.25" customHeight="1">
      <c r="B95" s="66" t="s">
        <v>1634</v>
      </c>
      <c r="C95" s="65">
        <f t="shared" si="6"/>
        <v>460</v>
      </c>
    </row>
    <row r="96" spans="2:3" ht="17.25" customHeight="1">
      <c r="B96" s="66" t="s">
        <v>1635</v>
      </c>
      <c r="C96" s="65">
        <f t="shared" si="6"/>
        <v>460</v>
      </c>
    </row>
    <row r="97" spans="2:3" ht="17.25" customHeight="1">
      <c r="B97" s="66" t="s">
        <v>1636</v>
      </c>
      <c r="C97" s="65">
        <f t="shared" si="6"/>
        <v>448.5</v>
      </c>
    </row>
    <row r="98" spans="2:3" ht="17.25" customHeight="1">
      <c r="B98" s="66" t="s">
        <v>1637</v>
      </c>
      <c r="C98" s="65">
        <f t="shared" si="6"/>
        <v>448.5</v>
      </c>
    </row>
    <row r="99" spans="2:3" ht="17.25" customHeight="1">
      <c r="B99" s="66" t="s">
        <v>1638</v>
      </c>
      <c r="C99" s="65">
        <f t="shared" si="6"/>
        <v>437</v>
      </c>
    </row>
    <row r="100" spans="2:3" ht="17.25" customHeight="1">
      <c r="B100" s="66" t="s">
        <v>1639</v>
      </c>
      <c r="C100" s="65">
        <f t="shared" si="6"/>
        <v>437</v>
      </c>
    </row>
    <row r="101" spans="2:3" ht="17.25" customHeight="1">
      <c r="B101" s="66" t="s">
        <v>1640</v>
      </c>
      <c r="C101" s="65">
        <f t="shared" si="6"/>
        <v>425.5</v>
      </c>
    </row>
    <row r="102" spans="2:3" ht="17.25" customHeight="1">
      <c r="B102" s="66" t="s">
        <v>1641</v>
      </c>
      <c r="C102" s="65">
        <f t="shared" si="6"/>
        <v>425.5</v>
      </c>
    </row>
    <row r="103" spans="2:3" ht="17.25" customHeight="1">
      <c r="B103" s="66" t="s">
        <v>1642</v>
      </c>
      <c r="C103" s="65">
        <f t="shared" si="6"/>
        <v>414</v>
      </c>
    </row>
    <row r="104" spans="2:3" ht="17.25" customHeight="1">
      <c r="B104" s="66" t="s">
        <v>1643</v>
      </c>
      <c r="C104" s="65">
        <f t="shared" si="6"/>
        <v>414</v>
      </c>
    </row>
    <row r="105" spans="2:3" ht="17.25" customHeight="1">
      <c r="B105" s="66" t="s">
        <v>1644</v>
      </c>
      <c r="C105" s="65">
        <f t="shared" si="6"/>
        <v>402.5</v>
      </c>
    </row>
    <row r="106" spans="2:3" ht="17.25" customHeight="1">
      <c r="B106" s="66" t="s">
        <v>1645</v>
      </c>
      <c r="C106" s="65">
        <f t="shared" si="6"/>
        <v>402.5</v>
      </c>
    </row>
    <row r="107" spans="2:3" ht="17.25" customHeight="1">
      <c r="B107" s="66" t="s">
        <v>1646</v>
      </c>
      <c r="C107" s="65">
        <f t="shared" si="6"/>
        <v>391</v>
      </c>
    </row>
    <row r="108" spans="2:3" ht="17.25" customHeight="1">
      <c r="B108" s="66" t="s">
        <v>1647</v>
      </c>
      <c r="C108" s="65">
        <f t="shared" si="6"/>
        <v>391</v>
      </c>
    </row>
    <row r="109" spans="2:3" ht="17.25" customHeight="1">
      <c r="B109" s="66" t="s">
        <v>1648</v>
      </c>
      <c r="C109" s="65">
        <f t="shared" si="6"/>
        <v>368</v>
      </c>
    </row>
    <row r="110" spans="2:3" ht="17.25" customHeight="1">
      <c r="B110" s="66" t="s">
        <v>1649</v>
      </c>
      <c r="C110" s="65">
        <f t="shared" si="6"/>
        <v>368</v>
      </c>
    </row>
    <row r="111" spans="2:3" ht="17.25" customHeight="1">
      <c r="B111" s="66" t="s">
        <v>1650</v>
      </c>
      <c r="C111" s="65">
        <f>N24</f>
        <v>345</v>
      </c>
    </row>
    <row r="112" spans="2:3" ht="17.25" customHeight="1">
      <c r="B112" s="66" t="s">
        <v>1651</v>
      </c>
      <c r="C112" s="65">
        <f aca="true" t="shared" si="7" ref="C112:C128">N25</f>
        <v>345</v>
      </c>
    </row>
    <row r="113" spans="2:3" ht="17.25" customHeight="1">
      <c r="B113" s="66" t="s">
        <v>1652</v>
      </c>
      <c r="C113" s="65">
        <f t="shared" si="7"/>
        <v>322</v>
      </c>
    </row>
    <row r="114" spans="2:3" ht="17.25" customHeight="1">
      <c r="B114" s="66" t="s">
        <v>1653</v>
      </c>
      <c r="C114" s="65">
        <f t="shared" si="7"/>
        <v>322</v>
      </c>
    </row>
    <row r="115" spans="2:3" ht="17.25" customHeight="1">
      <c r="B115" s="66" t="s">
        <v>1654</v>
      </c>
      <c r="C115" s="65">
        <f t="shared" si="7"/>
        <v>299</v>
      </c>
    </row>
    <row r="116" spans="2:3" ht="17.25" customHeight="1">
      <c r="B116" s="66" t="s">
        <v>1655</v>
      </c>
      <c r="C116" s="65">
        <f t="shared" si="7"/>
        <v>299</v>
      </c>
    </row>
    <row r="117" spans="2:3" ht="17.25" customHeight="1">
      <c r="B117" s="66" t="s">
        <v>1656</v>
      </c>
      <c r="C117" s="65">
        <f t="shared" si="7"/>
        <v>280</v>
      </c>
    </row>
    <row r="118" spans="2:3" ht="17.25" customHeight="1">
      <c r="B118" s="66" t="s">
        <v>1657</v>
      </c>
      <c r="C118" s="65">
        <f t="shared" si="7"/>
        <v>280</v>
      </c>
    </row>
    <row r="119" spans="2:3" ht="17.25" customHeight="1">
      <c r="B119" s="66" t="s">
        <v>1658</v>
      </c>
      <c r="C119" s="65">
        <f t="shared" si="7"/>
        <v>280</v>
      </c>
    </row>
    <row r="120" spans="2:3" ht="17.25" customHeight="1">
      <c r="B120" s="66" t="s">
        <v>1659</v>
      </c>
      <c r="C120" s="65">
        <f t="shared" si="7"/>
        <v>280</v>
      </c>
    </row>
    <row r="121" spans="2:3" ht="17.25" customHeight="1">
      <c r="B121" s="66" t="s">
        <v>1660</v>
      </c>
      <c r="C121" s="65">
        <f t="shared" si="7"/>
        <v>270</v>
      </c>
    </row>
    <row r="122" spans="2:3" ht="17.25" customHeight="1">
      <c r="B122" s="66" t="s">
        <v>1661</v>
      </c>
      <c r="C122" s="65">
        <f t="shared" si="7"/>
        <v>270</v>
      </c>
    </row>
    <row r="123" spans="2:3" ht="17.25" customHeight="1">
      <c r="B123" s="66" t="s">
        <v>1662</v>
      </c>
      <c r="C123" s="65">
        <f t="shared" si="7"/>
        <v>270</v>
      </c>
    </row>
    <row r="124" spans="2:3" ht="17.25" customHeight="1">
      <c r="B124" s="66" t="s">
        <v>1663</v>
      </c>
      <c r="C124" s="65">
        <f t="shared" si="7"/>
        <v>270</v>
      </c>
    </row>
    <row r="125" spans="2:3" ht="17.25" customHeight="1">
      <c r="B125" s="66" t="s">
        <v>1664</v>
      </c>
      <c r="C125" s="65">
        <f t="shared" si="7"/>
        <v>260</v>
      </c>
    </row>
    <row r="126" spans="2:3" ht="17.25" customHeight="1">
      <c r="B126" s="66" t="s">
        <v>1665</v>
      </c>
      <c r="C126" s="65">
        <f t="shared" si="7"/>
        <v>260</v>
      </c>
    </row>
    <row r="127" spans="2:3" ht="17.25" customHeight="1">
      <c r="B127" s="66" t="s">
        <v>1666</v>
      </c>
      <c r="C127" s="65">
        <f t="shared" si="7"/>
        <v>260</v>
      </c>
    </row>
    <row r="128" spans="2:3" ht="17.25" customHeight="1" thickBot="1">
      <c r="B128" s="67" t="s">
        <v>1667</v>
      </c>
      <c r="C128" s="83">
        <f t="shared" si="7"/>
        <v>260</v>
      </c>
    </row>
  </sheetData>
  <sheetProtection/>
  <mergeCells count="7">
    <mergeCell ref="F43:M43"/>
    <mergeCell ref="E3:F4"/>
    <mergeCell ref="G3:M3"/>
    <mergeCell ref="N3:O4"/>
    <mergeCell ref="G4:M4"/>
    <mergeCell ref="F7:N7"/>
    <mergeCell ref="F22:N22"/>
  </mergeCells>
  <printOptions/>
  <pageMargins left="0.31496062992125984" right="0.31496062992125984" top="0.3937007874015748" bottom="0.3937007874015748" header="0.11811023622047245" footer="0.1181102362204724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6"/>
  <sheetViews>
    <sheetView zoomScalePageLayoutView="0" workbookViewId="0" topLeftCell="E7">
      <selection activeCell="B11" sqref="B11:C31"/>
    </sheetView>
  </sheetViews>
  <sheetFormatPr defaultColWidth="9.140625" defaultRowHeight="19.5" customHeight="1"/>
  <cols>
    <col min="1" max="1" width="6.421875" style="1097" hidden="1" customWidth="1"/>
    <col min="2" max="2" width="12.140625" style="1098" hidden="1" customWidth="1"/>
    <col min="3" max="3" width="8.28125" style="1098" hidden="1" customWidth="1"/>
    <col min="4" max="4" width="5.8515625" style="1098" hidden="1" customWidth="1"/>
    <col min="5" max="5" width="8.421875" style="1098" customWidth="1"/>
    <col min="6" max="6" width="8.421875" style="1137" customWidth="1"/>
    <col min="7" max="7" width="10.28125" style="1138" customWidth="1"/>
    <col min="8" max="8" width="14.7109375" style="1137" customWidth="1"/>
    <col min="9" max="9" width="11.8515625" style="1098" customWidth="1"/>
    <col min="10" max="11" width="10.28125" style="1098" customWidth="1"/>
    <col min="12" max="12" width="14.7109375" style="1098" customWidth="1"/>
    <col min="13" max="13" width="11.8515625" style="1098" customWidth="1"/>
    <col min="14" max="15" width="8.421875" style="1098" customWidth="1"/>
    <col min="16" max="16384" width="9.140625" style="1103" customWidth="1"/>
  </cols>
  <sheetData>
    <row r="2" spans="5:15" ht="19.5" customHeight="1">
      <c r="E2" s="1099"/>
      <c r="F2" s="1100"/>
      <c r="G2" s="212"/>
      <c r="H2" s="1100"/>
      <c r="I2" s="1100"/>
      <c r="J2" s="1100"/>
      <c r="K2" s="147"/>
      <c r="L2" s="147"/>
      <c r="M2" s="1101"/>
      <c r="N2" s="1101"/>
      <c r="O2" s="1102"/>
    </row>
    <row r="3" spans="5:15" ht="19.5" customHeight="1">
      <c r="E3" s="1251" t="s">
        <v>274</v>
      </c>
      <c r="F3" s="1252"/>
      <c r="G3" s="1253" t="s">
        <v>1693</v>
      </c>
      <c r="H3" s="1253"/>
      <c r="I3" s="1253"/>
      <c r="J3" s="1253"/>
      <c r="K3" s="1253"/>
      <c r="L3" s="1253"/>
      <c r="M3" s="1253"/>
      <c r="N3" s="1252" t="s">
        <v>1080</v>
      </c>
      <c r="O3" s="1254"/>
    </row>
    <row r="4" spans="5:15" ht="19.5" customHeight="1">
      <c r="E4" s="1105"/>
      <c r="F4" s="1104"/>
      <c r="G4" s="1252" t="s">
        <v>1694</v>
      </c>
      <c r="H4" s="1252"/>
      <c r="I4" s="1252"/>
      <c r="J4" s="1252"/>
      <c r="K4" s="1252"/>
      <c r="L4" s="1252"/>
      <c r="M4" s="1252"/>
      <c r="N4" s="1255">
        <f>MAX(VLOOKUP("TV ESPECIAL MED SCT 01 40H",RHE,5,FALSE),VLOOKUP("TV ESPECIAL SUP SCT 01 40H",RHE,5,FALSE))</f>
        <v>41334</v>
      </c>
      <c r="O4" s="1256"/>
    </row>
    <row r="5" spans="1:15" ht="19.5" customHeight="1">
      <c r="A5" s="1106"/>
      <c r="E5" s="1107"/>
      <c r="F5" s="1108"/>
      <c r="G5" s="1109"/>
      <c r="H5" s="1110"/>
      <c r="I5" s="1110"/>
      <c r="J5" s="1110"/>
      <c r="K5" s="1108"/>
      <c r="L5" s="1111"/>
      <c r="M5" s="1108"/>
      <c r="N5" s="1108"/>
      <c r="O5" s="1112"/>
    </row>
    <row r="6" spans="1:15" ht="19.5" customHeight="1">
      <c r="A6" s="1106"/>
      <c r="E6" s="1113"/>
      <c r="F6" s="1114"/>
      <c r="G6" s="1115"/>
      <c r="H6" s="1114"/>
      <c r="I6" s="1116"/>
      <c r="J6" s="1116"/>
      <c r="K6" s="1116"/>
      <c r="L6" s="1116"/>
      <c r="M6" s="1116"/>
      <c r="N6" s="1117"/>
      <c r="O6" s="1118"/>
    </row>
    <row r="7" spans="1:15" ht="19.5" customHeight="1" thickBot="1">
      <c r="A7" s="1106"/>
      <c r="E7" s="1113"/>
      <c r="F7" s="1114"/>
      <c r="G7" s="1115"/>
      <c r="H7" s="1114"/>
      <c r="I7" s="1116"/>
      <c r="J7" s="1116"/>
      <c r="K7" s="1116"/>
      <c r="L7" s="1116"/>
      <c r="M7" s="1116"/>
      <c r="N7" s="1116"/>
      <c r="O7" s="1118"/>
    </row>
    <row r="8" spans="1:15" ht="19.5" customHeight="1" thickBot="1">
      <c r="A8" s="1106"/>
      <c r="E8" s="1113"/>
      <c r="F8" s="1114"/>
      <c r="G8" s="1257" t="s">
        <v>1695</v>
      </c>
      <c r="H8" s="1258"/>
      <c r="I8" s="1259"/>
      <c r="J8" s="1119"/>
      <c r="K8" s="1260" t="s">
        <v>1696</v>
      </c>
      <c r="L8" s="1261"/>
      <c r="M8" s="1262"/>
      <c r="N8" s="1119"/>
      <c r="O8" s="1118"/>
    </row>
    <row r="9" spans="5:15" ht="19.5" customHeight="1">
      <c r="E9" s="1113"/>
      <c r="F9" s="1114"/>
      <c r="G9" s="1114"/>
      <c r="H9" s="1115"/>
      <c r="I9" s="1114"/>
      <c r="J9" s="1116"/>
      <c r="K9" s="30"/>
      <c r="L9" s="1116"/>
      <c r="M9" s="1116"/>
      <c r="N9" s="1116"/>
      <c r="O9" s="1118"/>
    </row>
    <row r="10" spans="5:15" ht="19.5" customHeight="1" thickBot="1">
      <c r="E10" s="1113"/>
      <c r="F10" s="1114"/>
      <c r="G10" s="998" t="s">
        <v>721</v>
      </c>
      <c r="H10" s="294" t="s">
        <v>227</v>
      </c>
      <c r="I10" s="999" t="s">
        <v>722</v>
      </c>
      <c r="J10" s="365"/>
      <c r="K10" s="998" t="s">
        <v>721</v>
      </c>
      <c r="L10" s="294" t="s">
        <v>227</v>
      </c>
      <c r="M10" s="999" t="s">
        <v>722</v>
      </c>
      <c r="N10" s="365"/>
      <c r="O10" s="1118"/>
    </row>
    <row r="11" spans="2:15" ht="19.5" customHeight="1">
      <c r="B11" s="1000" t="s">
        <v>1697</v>
      </c>
      <c r="C11" s="1001">
        <f>TAB40_DATA_VAL</f>
        <v>41334</v>
      </c>
      <c r="D11" s="1002"/>
      <c r="E11" s="1113"/>
      <c r="F11" s="1114"/>
      <c r="G11" s="295"/>
      <c r="H11" s="296"/>
      <c r="I11" s="297"/>
      <c r="J11" s="250"/>
      <c r="K11" s="295"/>
      <c r="L11" s="297"/>
      <c r="M11" s="297"/>
      <c r="N11" s="1116"/>
      <c r="O11" s="1118"/>
    </row>
    <row r="12" spans="2:15" ht="19.5" customHeight="1">
      <c r="B12" s="1003" t="s">
        <v>281</v>
      </c>
      <c r="C12" s="1004">
        <f aca="true" t="shared" si="0" ref="C12:C27">I12</f>
        <v>787.11</v>
      </c>
      <c r="D12" s="1005"/>
      <c r="E12" s="1113"/>
      <c r="F12" s="1114"/>
      <c r="G12" s="1006" t="s">
        <v>1409</v>
      </c>
      <c r="H12" s="1120" t="s">
        <v>1673</v>
      </c>
      <c r="I12" s="1008">
        <f>VLOOKUP("TV ESPECIAL MED SCT 01 40H",RHE,10,FALSE)</f>
        <v>787.11</v>
      </c>
      <c r="J12" s="372"/>
      <c r="K12" s="1006" t="s">
        <v>1313</v>
      </c>
      <c r="L12" s="1007" t="s">
        <v>1674</v>
      </c>
      <c r="M12" s="1008">
        <f>VLOOKUP("TV ESPECIAL SUP SCT 01 40H",RHE,10,FALSE)</f>
        <v>5500.8</v>
      </c>
      <c r="N12" s="1116"/>
      <c r="O12" s="1118"/>
    </row>
    <row r="13" spans="1:15" ht="19.5" customHeight="1">
      <c r="A13" s="78"/>
      <c r="B13" s="1003" t="s">
        <v>285</v>
      </c>
      <c r="C13" s="1004">
        <f t="shared" si="0"/>
        <v>802.85</v>
      </c>
      <c r="D13" s="1005"/>
      <c r="E13" s="1113"/>
      <c r="F13" s="1114"/>
      <c r="G13" s="1009" t="s">
        <v>1410</v>
      </c>
      <c r="H13" s="1121" t="s">
        <v>1675</v>
      </c>
      <c r="I13" s="1011">
        <f>VLOOKUP("TV ESPECIAL MED SCT 02 40H",RHE,10,FALSE)</f>
        <v>802.85</v>
      </c>
      <c r="J13" s="372"/>
      <c r="K13" s="1009" t="s">
        <v>1314</v>
      </c>
      <c r="L13" s="1010" t="s">
        <v>1676</v>
      </c>
      <c r="M13" s="1011">
        <f>VLOOKUP("TV ESPECIAL SUP SCT 02 40H",RHE,10,FALSE)</f>
        <v>5610.99</v>
      </c>
      <c r="N13" s="1116"/>
      <c r="O13" s="1118"/>
    </row>
    <row r="14" spans="1:15" ht="19.5" customHeight="1">
      <c r="A14" s="78"/>
      <c r="B14" s="1003" t="s">
        <v>289</v>
      </c>
      <c r="C14" s="1004">
        <f t="shared" si="0"/>
        <v>818.6</v>
      </c>
      <c r="D14" s="1005"/>
      <c r="E14" s="1113"/>
      <c r="F14" s="1114"/>
      <c r="G14" s="1009" t="s">
        <v>1411</v>
      </c>
      <c r="H14" s="1121" t="s">
        <v>1677</v>
      </c>
      <c r="I14" s="1011">
        <f>VLOOKUP("TV ESPECIAL MED SCT 03 40H",RHE,10,FALSE)</f>
        <v>818.6</v>
      </c>
      <c r="J14" s="372"/>
      <c r="K14" s="1009" t="s">
        <v>1315</v>
      </c>
      <c r="L14" s="1010" t="s">
        <v>1678</v>
      </c>
      <c r="M14" s="1011">
        <f>VLOOKUP("TV ESPECIAL SUP SCT 03 40H",RHE,10,FALSE)</f>
        <v>5723.44</v>
      </c>
      <c r="N14" s="1116"/>
      <c r="O14" s="1118"/>
    </row>
    <row r="15" spans="1:15" ht="19.5" customHeight="1">
      <c r="A15" s="78"/>
      <c r="B15" s="1003" t="s">
        <v>60</v>
      </c>
      <c r="C15" s="1004">
        <f t="shared" si="0"/>
        <v>835.46</v>
      </c>
      <c r="D15" s="1005"/>
      <c r="E15" s="1113"/>
      <c r="F15" s="1114"/>
      <c r="G15" s="1009" t="s">
        <v>1412</v>
      </c>
      <c r="H15" s="1121" t="s">
        <v>1679</v>
      </c>
      <c r="I15" s="1011">
        <f>VLOOKUP("TV ESPECIAL MED SCT 04 40H",RHE,10,FALSE)</f>
        <v>835.46</v>
      </c>
      <c r="J15" s="372"/>
      <c r="K15" s="1012" t="s">
        <v>1316</v>
      </c>
      <c r="L15" s="1013" t="s">
        <v>1680</v>
      </c>
      <c r="M15" s="1014">
        <f>VLOOKUP("TV ESPECIAL SUP SCT 04 40H",RHE,10,FALSE)</f>
        <v>5838.13</v>
      </c>
      <c r="N15" s="1116"/>
      <c r="O15" s="1118"/>
    </row>
    <row r="16" spans="1:15" ht="19.5" customHeight="1">
      <c r="A16" s="78"/>
      <c r="B16" s="1003" t="s">
        <v>63</v>
      </c>
      <c r="C16" s="1004">
        <f t="shared" si="0"/>
        <v>850.08</v>
      </c>
      <c r="D16" s="1005"/>
      <c r="E16" s="1113"/>
      <c r="F16" s="1114"/>
      <c r="G16" s="1009" t="s">
        <v>1413</v>
      </c>
      <c r="H16" s="1121" t="s">
        <v>1681</v>
      </c>
      <c r="I16" s="1011">
        <f>VLOOKUP("TV ESPECIAL MED SCT 05 40H",RHE,10,FALSE)</f>
        <v>850.08</v>
      </c>
      <c r="J16" s="372"/>
      <c r="K16" s="1122"/>
      <c r="L16" s="1114"/>
      <c r="M16" s="372"/>
      <c r="N16" s="1116"/>
      <c r="O16" s="1118"/>
    </row>
    <row r="17" spans="1:15" ht="19.5" customHeight="1">
      <c r="A17" s="78"/>
      <c r="B17" s="1003" t="s">
        <v>863</v>
      </c>
      <c r="C17" s="1004">
        <f t="shared" si="0"/>
        <v>916.42</v>
      </c>
      <c r="D17" s="1005"/>
      <c r="E17" s="1113"/>
      <c r="F17" s="1114"/>
      <c r="G17" s="1009" t="s">
        <v>1414</v>
      </c>
      <c r="H17" s="1121" t="s">
        <v>1682</v>
      </c>
      <c r="I17" s="1011">
        <f>VLOOKUP("TV ESPECIAL MED SCT 06 40H",RHE,10,FALSE)</f>
        <v>916.42</v>
      </c>
      <c r="J17" s="372"/>
      <c r="K17" s="1122"/>
      <c r="L17" s="1114"/>
      <c r="M17" s="372"/>
      <c r="N17" s="1116"/>
      <c r="O17" s="1118"/>
    </row>
    <row r="18" spans="1:15" ht="19.5" customHeight="1">
      <c r="A18" s="78"/>
      <c r="B18" s="1003" t="s">
        <v>865</v>
      </c>
      <c r="C18" s="1004">
        <f t="shared" si="0"/>
        <v>933.29</v>
      </c>
      <c r="D18" s="1005"/>
      <c r="E18" s="1113"/>
      <c r="F18" s="1114"/>
      <c r="G18" s="1009" t="s">
        <v>1415</v>
      </c>
      <c r="H18" s="1121" t="s">
        <v>1683</v>
      </c>
      <c r="I18" s="1011">
        <f>VLOOKUP("TV ESPECIAL MED SCT 07 40H",RHE,10,FALSE)</f>
        <v>933.29</v>
      </c>
      <c r="J18" s="372"/>
      <c r="K18" s="1122"/>
      <c r="L18" s="1114"/>
      <c r="M18" s="372"/>
      <c r="N18" s="1116"/>
      <c r="O18" s="1118"/>
    </row>
    <row r="19" spans="1:15" ht="19.5" customHeight="1">
      <c r="A19" s="78"/>
      <c r="B19" s="1003" t="s">
        <v>867</v>
      </c>
      <c r="C19" s="1004">
        <f t="shared" si="0"/>
        <v>952.41</v>
      </c>
      <c r="D19" s="1005"/>
      <c r="E19" s="1113"/>
      <c r="F19" s="1114"/>
      <c r="G19" s="1009" t="s">
        <v>1416</v>
      </c>
      <c r="H19" s="1121" t="s">
        <v>1684</v>
      </c>
      <c r="I19" s="1011">
        <f>VLOOKUP("TV ESPECIAL MED SCT 08 40H",RHE,10,FALSE)</f>
        <v>952.41</v>
      </c>
      <c r="J19" s="372"/>
      <c r="K19" s="1122"/>
      <c r="L19" s="1114"/>
      <c r="M19" s="372"/>
      <c r="N19" s="1116"/>
      <c r="O19" s="1118"/>
    </row>
    <row r="20" spans="1:15" ht="19.5" customHeight="1">
      <c r="A20" s="78"/>
      <c r="B20" s="1003" t="s">
        <v>868</v>
      </c>
      <c r="C20" s="1004">
        <f t="shared" si="0"/>
        <v>971.52</v>
      </c>
      <c r="D20" s="1005"/>
      <c r="E20" s="1113"/>
      <c r="F20" s="1114"/>
      <c r="G20" s="1009" t="s">
        <v>1417</v>
      </c>
      <c r="H20" s="1121" t="s">
        <v>1685</v>
      </c>
      <c r="I20" s="1011">
        <f>VLOOKUP("TV ESPECIAL MED SCT 09 40H",RHE,10,FALSE)</f>
        <v>971.52</v>
      </c>
      <c r="J20" s="372"/>
      <c r="K20" s="1122"/>
      <c r="L20" s="1114"/>
      <c r="M20" s="372"/>
      <c r="N20" s="1116"/>
      <c r="O20" s="1118"/>
    </row>
    <row r="21" spans="1:15" ht="19.5" customHeight="1">
      <c r="A21" s="78"/>
      <c r="B21" s="1003" t="s">
        <v>869</v>
      </c>
      <c r="C21" s="1004">
        <f t="shared" si="0"/>
        <v>991.77</v>
      </c>
      <c r="D21" s="1005"/>
      <c r="E21" s="1113"/>
      <c r="F21" s="1114"/>
      <c r="G21" s="1009" t="s">
        <v>1292</v>
      </c>
      <c r="H21" s="1121" t="s">
        <v>1686</v>
      </c>
      <c r="I21" s="1011">
        <f>VLOOKUP("TV ESPECIAL MED SCT 10 40H",RHE,10,FALSE)</f>
        <v>991.77</v>
      </c>
      <c r="J21" s="372"/>
      <c r="K21" s="1122"/>
      <c r="L21" s="1114"/>
      <c r="M21" s="372"/>
      <c r="N21" s="1116"/>
      <c r="O21" s="1118"/>
    </row>
    <row r="22" spans="1:15" ht="19.5" customHeight="1">
      <c r="A22" s="78"/>
      <c r="B22" s="1003" t="s">
        <v>708</v>
      </c>
      <c r="C22" s="1004">
        <f t="shared" si="0"/>
        <v>1309.98</v>
      </c>
      <c r="D22" s="1005"/>
      <c r="E22" s="1113"/>
      <c r="F22" s="1114"/>
      <c r="G22" s="1009" t="s">
        <v>1293</v>
      </c>
      <c r="H22" s="1121" t="s">
        <v>1687</v>
      </c>
      <c r="I22" s="1011">
        <f>VLOOKUP("TV ESPECIAL MED SCT 11 40H",RHE,10,FALSE)</f>
        <v>1309.98</v>
      </c>
      <c r="J22" s="372"/>
      <c r="K22" s="1122"/>
      <c r="L22" s="30"/>
      <c r="M22" s="372"/>
      <c r="N22" s="1116"/>
      <c r="O22" s="1118"/>
    </row>
    <row r="23" spans="1:15" ht="19.5" customHeight="1">
      <c r="A23" s="78"/>
      <c r="B23" s="1003" t="s">
        <v>709</v>
      </c>
      <c r="C23" s="1004">
        <f t="shared" si="0"/>
        <v>1338.09</v>
      </c>
      <c r="D23" s="1005"/>
      <c r="E23" s="1113"/>
      <c r="F23" s="1114"/>
      <c r="G23" s="1009" t="s">
        <v>1294</v>
      </c>
      <c r="H23" s="1121" t="s">
        <v>1688</v>
      </c>
      <c r="I23" s="1011">
        <f>VLOOKUP("TV ESPECIAL MED SCT 12 40H",RHE,10,FALSE)</f>
        <v>1338.09</v>
      </c>
      <c r="J23" s="372"/>
      <c r="K23" s="1116"/>
      <c r="L23" s="30"/>
      <c r="M23" s="1116"/>
      <c r="N23" s="1116"/>
      <c r="O23" s="1118"/>
    </row>
    <row r="24" spans="1:15" ht="19.5" customHeight="1">
      <c r="A24" s="78"/>
      <c r="B24" s="1003" t="s">
        <v>84</v>
      </c>
      <c r="C24" s="1004">
        <f t="shared" si="0"/>
        <v>1717.03</v>
      </c>
      <c r="D24" s="1005"/>
      <c r="E24" s="1113"/>
      <c r="F24" s="1114"/>
      <c r="G24" s="1009" t="s">
        <v>1295</v>
      </c>
      <c r="H24" s="1121" t="s">
        <v>1689</v>
      </c>
      <c r="I24" s="1011">
        <f>VLOOKUP("TV ESPECIAL MED SCT 13 40H",RHE,10,FALSE)</f>
        <v>1717.03</v>
      </c>
      <c r="J24" s="30"/>
      <c r="K24" s="1116"/>
      <c r="L24" s="30"/>
      <c r="M24" s="1116"/>
      <c r="N24" s="1116"/>
      <c r="O24" s="1118"/>
    </row>
    <row r="25" spans="1:15" ht="19.5" customHeight="1">
      <c r="A25" s="78"/>
      <c r="B25" s="1003" t="s">
        <v>85</v>
      </c>
      <c r="C25" s="1004">
        <f t="shared" si="0"/>
        <v>1751.89</v>
      </c>
      <c r="D25" s="1005"/>
      <c r="E25" s="1113"/>
      <c r="F25" s="1114"/>
      <c r="G25" s="1009" t="s">
        <v>1296</v>
      </c>
      <c r="H25" s="1121" t="s">
        <v>1690</v>
      </c>
      <c r="I25" s="1011">
        <f>VLOOKUP("TV ESPECIAL MED SCT 14 40H",RHE,10,FALSE)</f>
        <v>1751.89</v>
      </c>
      <c r="J25" s="30"/>
      <c r="K25" s="1116"/>
      <c r="L25" s="1123"/>
      <c r="M25" s="1123"/>
      <c r="N25" s="1116"/>
      <c r="O25" s="1118"/>
    </row>
    <row r="26" spans="1:15" ht="19.5" customHeight="1">
      <c r="A26" s="78"/>
      <c r="B26" s="1003" t="s">
        <v>715</v>
      </c>
      <c r="C26" s="1004">
        <f t="shared" si="0"/>
        <v>1967.78</v>
      </c>
      <c r="D26" s="1005"/>
      <c r="E26" s="1113"/>
      <c r="F26" s="1114"/>
      <c r="G26" s="1009" t="s">
        <v>1297</v>
      </c>
      <c r="H26" s="1121" t="s">
        <v>1691</v>
      </c>
      <c r="I26" s="1011">
        <f>VLOOKUP("TV ESPECIAL MED SCT 15 40H",RHE,10,FALSE)</f>
        <v>1967.78</v>
      </c>
      <c r="J26" s="1116"/>
      <c r="K26" s="1116"/>
      <c r="L26" s="30"/>
      <c r="M26" s="1116"/>
      <c r="N26" s="1116"/>
      <c r="O26" s="1118"/>
    </row>
    <row r="27" spans="1:15" ht="19.5" customHeight="1">
      <c r="A27" s="78"/>
      <c r="B27" s="1003" t="s">
        <v>716</v>
      </c>
      <c r="C27" s="1004">
        <f t="shared" si="0"/>
        <v>2296.12</v>
      </c>
      <c r="D27" s="1005"/>
      <c r="E27" s="1113"/>
      <c r="F27" s="1114"/>
      <c r="G27" s="1012" t="s">
        <v>1298</v>
      </c>
      <c r="H27" s="1124" t="s">
        <v>1692</v>
      </c>
      <c r="I27" s="1014">
        <f>VLOOKUP("TV ESPECIAL MED SCT 16 40H",RHE,10,FALSE)</f>
        <v>2296.12</v>
      </c>
      <c r="J27" s="1116"/>
      <c r="K27" s="1116"/>
      <c r="L27" s="1116"/>
      <c r="M27" s="1125"/>
      <c r="N27" s="1116"/>
      <c r="O27" s="1118"/>
    </row>
    <row r="28" spans="1:15" ht="19.5" customHeight="1">
      <c r="A28" s="78"/>
      <c r="B28" s="1003" t="s">
        <v>705</v>
      </c>
      <c r="C28" s="1004">
        <f>M12</f>
        <v>5500.8</v>
      </c>
      <c r="D28" s="1005"/>
      <c r="E28" s="1113"/>
      <c r="F28" s="1114"/>
      <c r="G28" s="1115"/>
      <c r="H28" s="1126"/>
      <c r="I28" s="949"/>
      <c r="J28" s="1116"/>
      <c r="K28" s="1116"/>
      <c r="L28" s="1125"/>
      <c r="M28" s="1125"/>
      <c r="N28" s="1116"/>
      <c r="O28" s="1118"/>
    </row>
    <row r="29" spans="1:15" ht="19.5" customHeight="1">
      <c r="A29" s="78"/>
      <c r="B29" s="1003" t="s">
        <v>706</v>
      </c>
      <c r="C29" s="1004">
        <f>M13</f>
        <v>5610.99</v>
      </c>
      <c r="D29" s="1005"/>
      <c r="E29" s="1113"/>
      <c r="F29" s="1114"/>
      <c r="G29" s="1115"/>
      <c r="H29" s="1126"/>
      <c r="I29" s="949"/>
      <c r="J29" s="1116"/>
      <c r="K29" s="1116"/>
      <c r="L29" s="1125"/>
      <c r="M29" s="1125"/>
      <c r="N29" s="1116"/>
      <c r="O29" s="1118"/>
    </row>
    <row r="30" spans="1:15" ht="19.5" customHeight="1">
      <c r="A30" s="78"/>
      <c r="B30" s="1003" t="s">
        <v>707</v>
      </c>
      <c r="C30" s="1004">
        <f>M14</f>
        <v>5723.44</v>
      </c>
      <c r="D30" s="1005"/>
      <c r="E30" s="1113"/>
      <c r="F30" s="1114"/>
      <c r="G30" s="1123"/>
      <c r="H30" s="1123"/>
      <c r="I30" s="949"/>
      <c r="J30" s="1116"/>
      <c r="K30" s="1116"/>
      <c r="L30" s="1125"/>
      <c r="M30" s="1125"/>
      <c r="N30" s="1116"/>
      <c r="O30" s="1118"/>
    </row>
    <row r="31" spans="1:15" ht="19.5" customHeight="1" thickBot="1">
      <c r="A31" s="78"/>
      <c r="B31" s="1020" t="s">
        <v>92</v>
      </c>
      <c r="C31" s="1021">
        <f>M15</f>
        <v>5838.13</v>
      </c>
      <c r="D31" s="1005"/>
      <c r="E31" s="1113"/>
      <c r="F31" s="372"/>
      <c r="G31" s="1127"/>
      <c r="H31" s="1126"/>
      <c r="I31" s="949"/>
      <c r="J31" s="1116"/>
      <c r="K31" s="1116"/>
      <c r="L31" s="1125"/>
      <c r="M31" s="1125"/>
      <c r="N31" s="1116"/>
      <c r="O31" s="1118"/>
    </row>
    <row r="32" spans="1:15" ht="19.5" customHeight="1">
      <c r="A32" s="78"/>
      <c r="B32" s="1128"/>
      <c r="C32" s="1129"/>
      <c r="D32" s="1005"/>
      <c r="E32" s="1130"/>
      <c r="F32" s="1131"/>
      <c r="G32" s="1132"/>
      <c r="H32" s="1131"/>
      <c r="I32" s="1133"/>
      <c r="J32" s="1134"/>
      <c r="K32" s="1134"/>
      <c r="L32" s="1135"/>
      <c r="M32" s="1135"/>
      <c r="N32" s="1134"/>
      <c r="O32" s="1136"/>
    </row>
    <row r="33" spans="1:15" ht="19.5" customHeight="1">
      <c r="A33" s="78"/>
      <c r="B33" s="1128"/>
      <c r="C33" s="1129"/>
      <c r="D33" s="1005"/>
      <c r="E33" s="1116"/>
      <c r="F33" s="1126"/>
      <c r="G33" s="1127"/>
      <c r="H33" s="1126"/>
      <c r="I33" s="949"/>
      <c r="L33" s="1116"/>
      <c r="M33" s="1125"/>
      <c r="N33" s="1116"/>
      <c r="O33" s="1116"/>
    </row>
    <row r="34" spans="1:15" ht="19.5" customHeight="1">
      <c r="A34" s="78"/>
      <c r="B34" s="1128"/>
      <c r="C34" s="1129"/>
      <c r="D34" s="1005"/>
      <c r="E34" s="1116"/>
      <c r="F34" s="1126"/>
      <c r="G34" s="1115"/>
      <c r="H34" s="1126"/>
      <c r="I34" s="1116"/>
      <c r="L34" s="1116"/>
      <c r="M34" s="1116"/>
      <c r="N34" s="1116"/>
      <c r="O34" s="1116"/>
    </row>
    <row r="35" spans="1:15" ht="19.5" customHeight="1">
      <c r="A35" s="78"/>
      <c r="B35" s="1128"/>
      <c r="C35" s="1129"/>
      <c r="D35" s="1005"/>
      <c r="E35" s="1116"/>
      <c r="F35" s="1126"/>
      <c r="G35" s="1115"/>
      <c r="H35" s="1126"/>
      <c r="I35" s="1116"/>
      <c r="L35" s="55"/>
      <c r="M35" s="1116"/>
      <c r="N35" s="1116"/>
      <c r="O35" s="1116"/>
    </row>
    <row r="36" spans="1:15" ht="19.5" customHeight="1">
      <c r="A36" s="78"/>
      <c r="B36" s="1128"/>
      <c r="C36" s="1129"/>
      <c r="D36" s="1005"/>
      <c r="E36" s="1116"/>
      <c r="F36" s="1126"/>
      <c r="G36" s="1115"/>
      <c r="H36" s="1126"/>
      <c r="I36" s="229"/>
      <c r="L36" s="55"/>
      <c r="M36" s="1018"/>
      <c r="N36" s="229"/>
      <c r="O36" s="229"/>
    </row>
    <row r="37" spans="1:15" ht="19.5" customHeight="1">
      <c r="A37" s="78"/>
      <c r="B37" s="1128"/>
      <c r="C37" s="1129"/>
      <c r="D37" s="1005"/>
      <c r="E37" s="1116"/>
      <c r="F37" s="1126"/>
      <c r="G37" s="1115"/>
      <c r="H37" s="1126"/>
      <c r="I37" s="229"/>
      <c r="L37" s="1116"/>
      <c r="M37" s="1018"/>
      <c r="N37" s="229"/>
      <c r="O37" s="229"/>
    </row>
    <row r="38" spans="1:15" ht="19.5" customHeight="1">
      <c r="A38" s="78"/>
      <c r="B38" s="1128"/>
      <c r="C38" s="1129"/>
      <c r="D38" s="1005"/>
      <c r="E38" s="1116"/>
      <c r="F38" s="1114"/>
      <c r="G38" s="1115"/>
      <c r="H38" s="1114"/>
      <c r="I38" s="1116"/>
      <c r="L38" s="1126"/>
      <c r="M38" s="1116"/>
      <c r="N38" s="1116"/>
      <c r="O38" s="1116"/>
    </row>
    <row r="39" spans="1:15" ht="19.5" customHeight="1">
      <c r="A39" s="78"/>
      <c r="B39" s="1128"/>
      <c r="C39" s="1129"/>
      <c r="D39" s="1005"/>
      <c r="E39" s="1116"/>
      <c r="F39" s="1114"/>
      <c r="G39" s="1115"/>
      <c r="H39" s="1114"/>
      <c r="I39" s="949"/>
      <c r="L39" s="1126"/>
      <c r="M39" s="1115"/>
      <c r="N39" s="949"/>
      <c r="O39" s="949"/>
    </row>
    <row r="40" spans="1:15" ht="19.5" customHeight="1">
      <c r="A40" s="78"/>
      <c r="B40" s="1128"/>
      <c r="C40" s="1129"/>
      <c r="D40" s="1005"/>
      <c r="E40" s="1116"/>
      <c r="F40" s="55"/>
      <c r="G40" s="1018"/>
      <c r="H40" s="55"/>
      <c r="I40" s="949"/>
      <c r="L40" s="1126"/>
      <c r="M40" s="1115"/>
      <c r="N40" s="949"/>
      <c r="O40" s="949"/>
    </row>
    <row r="41" spans="1:15" ht="19.5" customHeight="1">
      <c r="A41" s="78"/>
      <c r="B41" s="1128"/>
      <c r="C41" s="1129"/>
      <c r="D41" s="1005"/>
      <c r="E41" s="1116"/>
      <c r="F41" s="55"/>
      <c r="G41" s="1018"/>
      <c r="H41" s="55"/>
      <c r="I41" s="949"/>
      <c r="L41" s="1116"/>
      <c r="M41" s="1115"/>
      <c r="N41" s="949"/>
      <c r="O41" s="949"/>
    </row>
    <row r="42" spans="1:15" ht="19.5" customHeight="1">
      <c r="A42" s="78"/>
      <c r="B42" s="1128"/>
      <c r="C42" s="1129"/>
      <c r="D42" s="1005"/>
      <c r="E42" s="1116"/>
      <c r="F42" s="1114"/>
      <c r="G42" s="1115"/>
      <c r="H42" s="1114"/>
      <c r="I42" s="1116"/>
      <c r="L42" s="30"/>
      <c r="M42" s="1116"/>
      <c r="N42" s="1116"/>
      <c r="O42" s="1116"/>
    </row>
    <row r="43" spans="2:15" ht="19.5" customHeight="1">
      <c r="B43" s="1128"/>
      <c r="C43" s="1129"/>
      <c r="D43" s="1005"/>
      <c r="E43" s="1116"/>
      <c r="F43" s="1126"/>
      <c r="G43" s="1115"/>
      <c r="H43" s="1126"/>
      <c r="I43" s="1116"/>
      <c r="J43" s="1116"/>
      <c r="K43" s="1116"/>
      <c r="L43" s="1116"/>
      <c r="M43" s="30"/>
      <c r="N43" s="1116"/>
      <c r="O43" s="1116"/>
    </row>
    <row r="44" spans="1:15" ht="19.5" customHeight="1">
      <c r="A44" s="78"/>
      <c r="B44" s="1128"/>
      <c r="C44" s="1129"/>
      <c r="D44" s="1005"/>
      <c r="E44" s="1116"/>
      <c r="F44" s="1126"/>
      <c r="G44" s="1115"/>
      <c r="H44" s="1126"/>
      <c r="I44" s="1116"/>
      <c r="J44" s="1116"/>
      <c r="K44" s="1116"/>
      <c r="L44" s="1116"/>
      <c r="M44" s="1116"/>
      <c r="N44" s="1116"/>
      <c r="O44" s="1116"/>
    </row>
    <row r="45" spans="1:15" ht="19.5" customHeight="1">
      <c r="A45" s="78"/>
      <c r="B45" s="1128"/>
      <c r="C45" s="1129"/>
      <c r="D45" s="1005"/>
      <c r="F45" s="1126"/>
      <c r="G45" s="1115"/>
      <c r="H45" s="1126"/>
      <c r="M45" s="1116"/>
      <c r="N45" s="1116"/>
      <c r="O45" s="1116"/>
    </row>
    <row r="46" spans="1:15" ht="19.5" customHeight="1">
      <c r="A46" s="78"/>
      <c r="B46" s="1128"/>
      <c r="C46" s="1129"/>
      <c r="D46" s="1005"/>
      <c r="E46" s="1116"/>
      <c r="F46" s="1114"/>
      <c r="G46" s="1115"/>
      <c r="H46" s="1114"/>
      <c r="I46" s="1116"/>
      <c r="M46" s="1116"/>
      <c r="N46" s="1116"/>
      <c r="O46" s="1116"/>
    </row>
    <row r="47" spans="1:15" ht="19.5" customHeight="1">
      <c r="A47" s="78"/>
      <c r="B47" s="1128"/>
      <c r="C47" s="1129"/>
      <c r="D47" s="1005"/>
      <c r="E47" s="1116"/>
      <c r="F47" s="1114"/>
      <c r="G47" s="1115"/>
      <c r="H47" s="1114"/>
      <c r="I47" s="1116"/>
      <c r="M47" s="1116"/>
      <c r="N47" s="1116"/>
      <c r="O47" s="1116"/>
    </row>
    <row r="48" spans="1:15" ht="19.5" customHeight="1">
      <c r="A48" s="78"/>
      <c r="B48" s="1128"/>
      <c r="C48" s="1129"/>
      <c r="D48" s="1005"/>
      <c r="E48" s="1116"/>
      <c r="F48" s="1114"/>
      <c r="G48" s="1115"/>
      <c r="H48" s="1114"/>
      <c r="I48" s="1116"/>
      <c r="M48" s="1116"/>
      <c r="N48" s="1116"/>
      <c r="O48" s="1116"/>
    </row>
    <row r="49" spans="1:15" ht="19.5" customHeight="1">
      <c r="A49" s="78"/>
      <c r="B49" s="1128"/>
      <c r="C49" s="1129"/>
      <c r="D49" s="1005"/>
      <c r="M49" s="1116"/>
      <c r="N49" s="1116"/>
      <c r="O49" s="1116"/>
    </row>
    <row r="50" spans="1:4" ht="19.5" customHeight="1">
      <c r="A50" s="78"/>
      <c r="B50" s="1128"/>
      <c r="C50" s="1129"/>
      <c r="D50" s="1005"/>
    </row>
    <row r="51" spans="1:4" ht="19.5" customHeight="1">
      <c r="A51" s="78"/>
      <c r="B51" s="1128"/>
      <c r="C51" s="1129"/>
      <c r="D51" s="1005"/>
    </row>
    <row r="52" spans="2:4" ht="19.5" customHeight="1">
      <c r="B52" s="1128"/>
      <c r="C52" s="1129"/>
      <c r="D52" s="1005"/>
    </row>
    <row r="53" spans="2:4" ht="19.5" customHeight="1">
      <c r="B53" s="1128"/>
      <c r="C53" s="1129"/>
      <c r="D53" s="1005"/>
    </row>
    <row r="54" spans="2:8" ht="19.5" customHeight="1">
      <c r="B54" s="1128"/>
      <c r="C54" s="1129"/>
      <c r="D54" s="1005"/>
      <c r="F54" s="1098"/>
      <c r="H54" s="1098"/>
    </row>
    <row r="55" spans="2:4" ht="19.5" customHeight="1">
      <c r="B55" s="1128"/>
      <c r="C55" s="1129"/>
      <c r="D55" s="1005"/>
    </row>
    <row r="56" ht="19.5" customHeight="1">
      <c r="D56" s="1005"/>
    </row>
    <row r="57" spans="2:4" ht="19.5" customHeight="1">
      <c r="B57" s="1128"/>
      <c r="C57" s="1129"/>
      <c r="D57" s="1005"/>
    </row>
    <row r="58" spans="1:4" ht="19.5" customHeight="1">
      <c r="A58" s="78"/>
      <c r="B58" s="1128"/>
      <c r="C58" s="1129"/>
      <c r="D58" s="1005"/>
    </row>
    <row r="59" spans="1:4" ht="19.5" customHeight="1">
      <c r="A59" s="78"/>
      <c r="B59" s="1128"/>
      <c r="C59" s="1129"/>
      <c r="D59" s="1005"/>
    </row>
    <row r="60" spans="1:4" ht="19.5" customHeight="1">
      <c r="A60" s="78"/>
      <c r="B60" s="1116"/>
      <c r="C60" s="1116"/>
      <c r="D60" s="1129"/>
    </row>
    <row r="61" spans="1:4" ht="19.5" customHeight="1">
      <c r="A61" s="78"/>
      <c r="B61" s="1116"/>
      <c r="C61" s="1116"/>
      <c r="D61" s="1129"/>
    </row>
    <row r="62" ht="19.5" customHeight="1">
      <c r="D62" s="1129"/>
    </row>
    <row r="63" ht="19.5" customHeight="1">
      <c r="D63" s="1129"/>
    </row>
    <row r="64" ht="19.5" customHeight="1">
      <c r="D64" s="1129"/>
    </row>
    <row r="65" ht="19.5" customHeight="1">
      <c r="D65" s="1129"/>
    </row>
    <row r="66" ht="19.5" customHeight="1">
      <c r="D66" s="1129"/>
    </row>
    <row r="67" ht="19.5" customHeight="1">
      <c r="D67" s="1129"/>
    </row>
    <row r="68" spans="2:4" ht="19.5" customHeight="1">
      <c r="B68" s="1139"/>
      <c r="C68" s="1139"/>
      <c r="D68" s="1129"/>
    </row>
    <row r="69" spans="2:4" ht="19.5" customHeight="1">
      <c r="B69" s="1139"/>
      <c r="C69" s="1139"/>
      <c r="D69" s="1129"/>
    </row>
    <row r="70" spans="2:4" ht="19.5" customHeight="1">
      <c r="B70" s="1139"/>
      <c r="C70" s="1139"/>
      <c r="D70" s="1129"/>
    </row>
    <row r="71" spans="2:4" ht="19.5" customHeight="1">
      <c r="B71" s="1139"/>
      <c r="C71" s="1139"/>
      <c r="D71" s="1129"/>
    </row>
    <row r="72" spans="2:4" ht="19.5" customHeight="1">
      <c r="B72" s="1139"/>
      <c r="C72" s="1139"/>
      <c r="D72" s="1129"/>
    </row>
    <row r="73" spans="2:4" ht="19.5" customHeight="1">
      <c r="B73" s="1139"/>
      <c r="C73" s="1139"/>
      <c r="D73" s="1129"/>
    </row>
    <row r="74" spans="2:4" ht="19.5" customHeight="1">
      <c r="B74" s="1139"/>
      <c r="C74" s="1139"/>
      <c r="D74" s="1129"/>
    </row>
    <row r="75" spans="2:4" ht="19.5" customHeight="1">
      <c r="B75" s="1139"/>
      <c r="C75" s="1139"/>
      <c r="D75" s="1129"/>
    </row>
    <row r="76" spans="2:4" ht="19.5" customHeight="1">
      <c r="B76" s="1139"/>
      <c r="C76" s="1139"/>
      <c r="D76" s="1129"/>
    </row>
    <row r="77" spans="2:4" ht="19.5" customHeight="1">
      <c r="B77" s="1139"/>
      <c r="C77" s="1139"/>
      <c r="D77" s="1129"/>
    </row>
    <row r="78" spans="2:4" ht="19.5" customHeight="1">
      <c r="B78" s="1139"/>
      <c r="C78" s="1139"/>
      <c r="D78" s="1129"/>
    </row>
    <row r="79" spans="2:4" ht="19.5" customHeight="1">
      <c r="B79" s="1139"/>
      <c r="C79" s="1139"/>
      <c r="D79" s="1129"/>
    </row>
    <row r="80" spans="2:4" ht="19.5" customHeight="1">
      <c r="B80" s="1139"/>
      <c r="C80" s="1139"/>
      <c r="D80" s="1129"/>
    </row>
    <row r="81" spans="2:4" ht="19.5" customHeight="1">
      <c r="B81" s="1139"/>
      <c r="C81" s="1139"/>
      <c r="D81" s="1129"/>
    </row>
    <row r="82" spans="2:4" ht="19.5" customHeight="1">
      <c r="B82" s="1139"/>
      <c r="C82" s="1139"/>
      <c r="D82" s="1129"/>
    </row>
    <row r="83" spans="2:4" ht="19.5" customHeight="1">
      <c r="B83" s="1139"/>
      <c r="C83" s="1139"/>
      <c r="D83" s="1129"/>
    </row>
    <row r="84" spans="2:3" ht="19.5" customHeight="1">
      <c r="B84" s="1139"/>
      <c r="C84" s="1139"/>
    </row>
    <row r="85" spans="2:4" ht="19.5" customHeight="1">
      <c r="B85" s="1139"/>
      <c r="C85" s="1139"/>
      <c r="D85" s="1129"/>
    </row>
    <row r="86" spans="2:4" ht="19.5" customHeight="1">
      <c r="B86" s="1139"/>
      <c r="C86" s="1139"/>
      <c r="D86" s="1129"/>
    </row>
    <row r="87" spans="2:4" ht="19.5" customHeight="1">
      <c r="B87" s="1139"/>
      <c r="C87" s="1139"/>
      <c r="D87" s="1129"/>
    </row>
    <row r="88" spans="2:4" ht="19.5" customHeight="1">
      <c r="B88" s="1139"/>
      <c r="C88" s="1139"/>
      <c r="D88" s="1116"/>
    </row>
    <row r="89" ht="19.5" customHeight="1">
      <c r="D89" s="1116"/>
    </row>
    <row r="96" ht="19.5" customHeight="1">
      <c r="D96" s="1139"/>
    </row>
    <row r="97" ht="19.5" customHeight="1">
      <c r="D97" s="1139"/>
    </row>
    <row r="98" ht="19.5" customHeight="1">
      <c r="D98" s="1139"/>
    </row>
    <row r="99" ht="19.5" customHeight="1">
      <c r="D99" s="1139"/>
    </row>
    <row r="100" ht="19.5" customHeight="1">
      <c r="D100" s="1139"/>
    </row>
    <row r="101" ht="19.5" customHeight="1">
      <c r="D101" s="1139"/>
    </row>
    <row r="102" ht="19.5" customHeight="1">
      <c r="D102" s="1139"/>
    </row>
    <row r="103" ht="19.5" customHeight="1">
      <c r="D103" s="1139"/>
    </row>
    <row r="104" ht="19.5" customHeight="1">
      <c r="D104" s="1139"/>
    </row>
    <row r="105" ht="19.5" customHeight="1">
      <c r="D105" s="1139"/>
    </row>
    <row r="106" ht="19.5" customHeight="1">
      <c r="D106" s="1139"/>
    </row>
    <row r="107" ht="19.5" customHeight="1">
      <c r="D107" s="1139"/>
    </row>
    <row r="108" ht="19.5" customHeight="1">
      <c r="D108" s="1139"/>
    </row>
    <row r="109" ht="19.5" customHeight="1">
      <c r="D109" s="1139"/>
    </row>
    <row r="110" ht="19.5" customHeight="1">
      <c r="D110" s="1139"/>
    </row>
    <row r="111" ht="19.5" customHeight="1">
      <c r="D111" s="1139"/>
    </row>
    <row r="112" ht="19.5" customHeight="1">
      <c r="D112" s="1139"/>
    </row>
    <row r="113" ht="19.5" customHeight="1">
      <c r="D113" s="1139"/>
    </row>
    <row r="114" ht="19.5" customHeight="1">
      <c r="D114" s="1139"/>
    </row>
    <row r="115" ht="19.5" customHeight="1">
      <c r="D115" s="1139"/>
    </row>
    <row r="116" ht="19.5" customHeight="1">
      <c r="D116" s="1139"/>
    </row>
  </sheetData>
  <sheetProtection/>
  <mergeCells count="7">
    <mergeCell ref="E3:F3"/>
    <mergeCell ref="G3:M3"/>
    <mergeCell ref="N3:O3"/>
    <mergeCell ref="G4:M4"/>
    <mergeCell ref="N4:O4"/>
    <mergeCell ref="G8:I8"/>
    <mergeCell ref="K8:M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6"/>
  <sheetViews>
    <sheetView zoomScalePageLayoutView="0" workbookViewId="0" topLeftCell="D1">
      <selection activeCell="B11" sqref="B11:C47"/>
    </sheetView>
  </sheetViews>
  <sheetFormatPr defaultColWidth="9.140625" defaultRowHeight="19.5" customHeight="1"/>
  <cols>
    <col min="1" max="1" width="6.421875" style="1097" hidden="1" customWidth="1"/>
    <col min="2" max="2" width="10.140625" style="1098" hidden="1" customWidth="1"/>
    <col min="3" max="3" width="10.57421875" style="1098" hidden="1" customWidth="1"/>
    <col min="4" max="4" width="5.8515625" style="1098" customWidth="1"/>
    <col min="5" max="5" width="8.421875" style="1098" customWidth="1"/>
    <col min="6" max="6" width="8.421875" style="1137" customWidth="1"/>
    <col min="7" max="7" width="12.28125" style="1138" customWidth="1"/>
    <col min="8" max="8" width="10.28125" style="1137" customWidth="1"/>
    <col min="9" max="11" width="10.28125" style="1098" customWidth="1"/>
    <col min="12" max="12" width="12.28125" style="1098" customWidth="1"/>
    <col min="13" max="13" width="10.28125" style="1098" customWidth="1"/>
    <col min="14" max="15" width="8.421875" style="1098" customWidth="1"/>
    <col min="16" max="16384" width="9.140625" style="1103" customWidth="1"/>
  </cols>
  <sheetData>
    <row r="2" spans="5:15" ht="19.5" customHeight="1">
      <c r="E2" s="1099"/>
      <c r="F2" s="1100"/>
      <c r="G2" s="212"/>
      <c r="H2" s="1100"/>
      <c r="I2" s="1100"/>
      <c r="J2" s="1100"/>
      <c r="K2" s="147"/>
      <c r="L2" s="147"/>
      <c r="M2" s="1101"/>
      <c r="N2" s="1101"/>
      <c r="O2" s="1102"/>
    </row>
    <row r="3" spans="5:15" ht="19.5" customHeight="1">
      <c r="E3" s="1251" t="s">
        <v>274</v>
      </c>
      <c r="F3" s="1252"/>
      <c r="G3" s="1253" t="s">
        <v>1668</v>
      </c>
      <c r="H3" s="1253"/>
      <c r="I3" s="1253"/>
      <c r="J3" s="1253"/>
      <c r="K3" s="1253"/>
      <c r="L3" s="1253"/>
      <c r="M3" s="1253"/>
      <c r="N3" s="1252" t="s">
        <v>1080</v>
      </c>
      <c r="O3" s="1254"/>
    </row>
    <row r="4" spans="5:15" ht="19.5" customHeight="1">
      <c r="E4" s="1105"/>
      <c r="F4" s="1104"/>
      <c r="G4" s="1252" t="s">
        <v>1669</v>
      </c>
      <c r="H4" s="1252"/>
      <c r="I4" s="1252"/>
      <c r="J4" s="1252"/>
      <c r="K4" s="1252"/>
      <c r="L4" s="1252"/>
      <c r="M4" s="1252"/>
      <c r="N4" s="1255">
        <f>MAX(VLOOKUP("TV ESPECIAL ST 01 40H",RHE,5,FALSE),VLOOKUP("TV ESPECIAL DAE 01 40H",RHE,5,FALSE))</f>
        <v>41334</v>
      </c>
      <c r="O4" s="1256"/>
    </row>
    <row r="5" spans="1:15" ht="19.5" customHeight="1">
      <c r="A5" s="1106"/>
      <c r="E5" s="1107"/>
      <c r="F5" s="1108"/>
      <c r="G5" s="1109"/>
      <c r="H5" s="1110"/>
      <c r="I5" s="1110"/>
      <c r="J5" s="1110"/>
      <c r="K5" s="1108"/>
      <c r="L5" s="1111"/>
      <c r="M5" s="1108"/>
      <c r="N5" s="1108"/>
      <c r="O5" s="1112"/>
    </row>
    <row r="6" spans="1:15" ht="19.5" customHeight="1">
      <c r="A6" s="1106"/>
      <c r="E6" s="1113"/>
      <c r="F6" s="1114"/>
      <c r="G6" s="1115"/>
      <c r="H6" s="1114"/>
      <c r="I6" s="1116"/>
      <c r="J6" s="1116"/>
      <c r="K6" s="1116"/>
      <c r="L6" s="1116"/>
      <c r="M6" s="1116"/>
      <c r="N6" s="1117"/>
      <c r="O6" s="1118"/>
    </row>
    <row r="7" spans="1:15" ht="19.5" customHeight="1" thickBot="1">
      <c r="A7" s="1106"/>
      <c r="E7" s="1113"/>
      <c r="F7" s="1114"/>
      <c r="G7" s="1115"/>
      <c r="H7" s="1114"/>
      <c r="I7" s="1116"/>
      <c r="J7" s="1116"/>
      <c r="K7" s="1116"/>
      <c r="L7" s="1116"/>
      <c r="M7" s="1116"/>
      <c r="N7" s="1116"/>
      <c r="O7" s="1118"/>
    </row>
    <row r="8" spans="1:15" ht="19.5" customHeight="1" thickBot="1">
      <c r="A8" s="1106"/>
      <c r="E8" s="1113"/>
      <c r="F8" s="1257" t="s">
        <v>1670</v>
      </c>
      <c r="G8" s="1258"/>
      <c r="H8" s="1258"/>
      <c r="I8" s="1259"/>
      <c r="J8" s="1119"/>
      <c r="K8" s="1260" t="s">
        <v>1671</v>
      </c>
      <c r="L8" s="1261"/>
      <c r="M8" s="1262"/>
      <c r="N8" s="1119"/>
      <c r="O8" s="1118"/>
    </row>
    <row r="9" spans="5:15" ht="19.5" customHeight="1">
      <c r="E9" s="1113"/>
      <c r="F9" s="1114"/>
      <c r="G9" s="1114"/>
      <c r="H9" s="1115"/>
      <c r="I9" s="1114"/>
      <c r="J9" s="1116"/>
      <c r="K9" s="30"/>
      <c r="L9" s="1116"/>
      <c r="M9" s="1116"/>
      <c r="N9" s="1116"/>
      <c r="O9" s="1118"/>
    </row>
    <row r="10" spans="5:15" ht="19.5" customHeight="1" thickBot="1">
      <c r="E10" s="1113"/>
      <c r="F10" s="998" t="s">
        <v>721</v>
      </c>
      <c r="G10" s="294" t="s">
        <v>227</v>
      </c>
      <c r="H10" s="999" t="s">
        <v>722</v>
      </c>
      <c r="I10" s="999" t="s">
        <v>1538</v>
      </c>
      <c r="J10" s="365"/>
      <c r="K10" s="998" t="s">
        <v>721</v>
      </c>
      <c r="L10" s="294" t="s">
        <v>227</v>
      </c>
      <c r="M10" s="999" t="s">
        <v>722</v>
      </c>
      <c r="N10" s="365"/>
      <c r="O10" s="1118"/>
    </row>
    <row r="11" spans="2:15" ht="19.5" customHeight="1">
      <c r="B11" s="1000" t="s">
        <v>1672</v>
      </c>
      <c r="C11" s="1001">
        <f>TAB42_DATA_VAL</f>
        <v>41334</v>
      </c>
      <c r="D11" s="1002"/>
      <c r="E11" s="1113"/>
      <c r="F11" s="295"/>
      <c r="G11" s="296"/>
      <c r="H11" s="297"/>
      <c r="J11" s="250"/>
      <c r="K11" s="295"/>
      <c r="L11" s="297"/>
      <c r="M11" s="297"/>
      <c r="N11" s="1116"/>
      <c r="O11" s="1118"/>
    </row>
    <row r="12" spans="2:15" ht="19.5" customHeight="1">
      <c r="B12" s="1003" t="s">
        <v>281</v>
      </c>
      <c r="C12" s="1004">
        <f aca="true" t="shared" si="0" ref="C12:C27">H12</f>
        <v>591.14</v>
      </c>
      <c r="D12" s="1005"/>
      <c r="E12" s="1113"/>
      <c r="F12" s="1006" t="s">
        <v>1409</v>
      </c>
      <c r="G12" s="1120" t="s">
        <v>1673</v>
      </c>
      <c r="H12" s="1140">
        <f>VLOOKUP("TV ESPECIAL ST 01 40H",RHE,10,FALSE)</f>
        <v>591.14</v>
      </c>
      <c r="I12" s="1141">
        <f>VLOOKUP("TV ESPECIAL ST 01 40H",RHE,12,FALSE)</f>
        <v>40</v>
      </c>
      <c r="J12" s="372"/>
      <c r="K12" s="1006" t="s">
        <v>1313</v>
      </c>
      <c r="L12" s="1007" t="s">
        <v>1674</v>
      </c>
      <c r="M12" s="1008">
        <f>VLOOKUP("TV ESPECIAL DAE 01 40H",RHE,10,FALSE)</f>
        <v>4937.65</v>
      </c>
      <c r="N12" s="1116"/>
      <c r="O12" s="1118"/>
    </row>
    <row r="13" spans="1:15" ht="19.5" customHeight="1">
      <c r="A13" s="78"/>
      <c r="B13" s="1003" t="s">
        <v>285</v>
      </c>
      <c r="C13" s="1004">
        <f t="shared" si="0"/>
        <v>620.69</v>
      </c>
      <c r="D13" s="1005"/>
      <c r="E13" s="1113"/>
      <c r="F13" s="1009" t="s">
        <v>1410</v>
      </c>
      <c r="G13" s="1121" t="s">
        <v>1675</v>
      </c>
      <c r="H13" s="1142">
        <f>VLOOKUP("TV ESPECIAL ST 02 40H",RHE,10,FALSE)</f>
        <v>620.69</v>
      </c>
      <c r="I13" s="1143">
        <f>VLOOKUP("TV ESPECIAL ST 02 40H",RHE,12,FALSE)</f>
        <v>42</v>
      </c>
      <c r="J13" s="372"/>
      <c r="K13" s="1009" t="s">
        <v>1314</v>
      </c>
      <c r="L13" s="1010" t="s">
        <v>1676</v>
      </c>
      <c r="M13" s="1011">
        <f>VLOOKUP("TV ESPECIAL DAE 02 40H",RHE,10,FALSE)</f>
        <v>5184.53</v>
      </c>
      <c r="N13" s="1116"/>
      <c r="O13" s="1118"/>
    </row>
    <row r="14" spans="1:15" ht="19.5" customHeight="1">
      <c r="A14" s="78"/>
      <c r="B14" s="1003" t="s">
        <v>289</v>
      </c>
      <c r="C14" s="1004">
        <f t="shared" si="0"/>
        <v>651.73</v>
      </c>
      <c r="D14" s="1005"/>
      <c r="E14" s="1113"/>
      <c r="F14" s="1009" t="s">
        <v>1411</v>
      </c>
      <c r="G14" s="1121" t="s">
        <v>1677</v>
      </c>
      <c r="H14" s="1142">
        <f>VLOOKUP("TV ESPECIAL ST 03 40H",RHE,10,FALSE)</f>
        <v>651.73</v>
      </c>
      <c r="I14" s="1143">
        <f>VLOOKUP("TV ESPECIAL ST 03 40H",RHE,12,FALSE)</f>
        <v>44</v>
      </c>
      <c r="J14" s="372"/>
      <c r="K14" s="1009" t="s">
        <v>1315</v>
      </c>
      <c r="L14" s="1010" t="s">
        <v>1678</v>
      </c>
      <c r="M14" s="1011">
        <f>VLOOKUP("TV ESPECIAL DAE 03 40H",RHE,10,FALSE)</f>
        <v>5443.77</v>
      </c>
      <c r="N14" s="1116"/>
      <c r="O14" s="1118"/>
    </row>
    <row r="15" spans="1:15" ht="19.5" customHeight="1">
      <c r="A15" s="78"/>
      <c r="B15" s="1003" t="s">
        <v>60</v>
      </c>
      <c r="C15" s="1004">
        <f t="shared" si="0"/>
        <v>684.33</v>
      </c>
      <c r="D15" s="1005"/>
      <c r="E15" s="1113"/>
      <c r="F15" s="1009" t="s">
        <v>1412</v>
      </c>
      <c r="G15" s="1121" t="s">
        <v>1679</v>
      </c>
      <c r="H15" s="1142">
        <f>VLOOKUP("TV ESPECIAL ST 04 40H",RHE,10,FALSE)</f>
        <v>684.33</v>
      </c>
      <c r="I15" s="1143">
        <f>VLOOKUP("TV ESPECIAL ST 04 40H",RHE,12,FALSE)</f>
        <v>47</v>
      </c>
      <c r="J15" s="372"/>
      <c r="K15" s="1012" t="s">
        <v>1316</v>
      </c>
      <c r="L15" s="1013" t="s">
        <v>1680</v>
      </c>
      <c r="M15" s="1014">
        <f>VLOOKUP("TV ESPECIAL DAE 04 40H",RHE,10,FALSE)</f>
        <v>5715.95</v>
      </c>
      <c r="N15" s="1116"/>
      <c r="O15" s="1118"/>
    </row>
    <row r="16" spans="1:15" ht="19.5" customHeight="1">
      <c r="A16" s="78"/>
      <c r="B16" s="1003" t="s">
        <v>63</v>
      </c>
      <c r="C16" s="1004">
        <f t="shared" si="0"/>
        <v>709.37</v>
      </c>
      <c r="D16" s="1005"/>
      <c r="E16" s="1113"/>
      <c r="F16" s="1009" t="s">
        <v>1413</v>
      </c>
      <c r="G16" s="1121" t="s">
        <v>1681</v>
      </c>
      <c r="H16" s="1142">
        <f>VLOOKUP("TV ESPECIAL ST 05 40H",RHE,10,FALSE)</f>
        <v>709.37</v>
      </c>
      <c r="I16" s="1143">
        <f>VLOOKUP("TV ESPECIAL ST 05 40H",RHE,12,FALSE)</f>
        <v>48</v>
      </c>
      <c r="J16" s="372"/>
      <c r="K16" s="1122"/>
      <c r="L16" s="1114"/>
      <c r="M16" s="372"/>
      <c r="N16" s="1116"/>
      <c r="O16" s="1118"/>
    </row>
    <row r="17" spans="1:15" ht="19.5" customHeight="1">
      <c r="A17" s="78"/>
      <c r="B17" s="1003" t="s">
        <v>863</v>
      </c>
      <c r="C17" s="1004">
        <f t="shared" si="0"/>
        <v>744.84</v>
      </c>
      <c r="D17" s="1005"/>
      <c r="E17" s="1113"/>
      <c r="F17" s="1009" t="s">
        <v>1414</v>
      </c>
      <c r="G17" s="1121" t="s">
        <v>1682</v>
      </c>
      <c r="H17" s="1142">
        <f>VLOOKUP("TV ESPECIAL ST 06 40H",RHE,10,FALSE)</f>
        <v>744.84</v>
      </c>
      <c r="I17" s="1143">
        <f>VLOOKUP("TV ESPECIAL ST 06 40H",RHE,12,FALSE)</f>
        <v>51</v>
      </c>
      <c r="J17" s="372"/>
      <c r="K17" s="1122"/>
      <c r="L17" s="1114"/>
      <c r="M17" s="372"/>
      <c r="N17" s="1116"/>
      <c r="O17" s="1118"/>
    </row>
    <row r="18" spans="1:15" ht="19.5" customHeight="1">
      <c r="A18" s="78"/>
      <c r="B18" s="1003" t="s">
        <v>865</v>
      </c>
      <c r="C18" s="1004">
        <f t="shared" si="0"/>
        <v>782.09</v>
      </c>
      <c r="D18" s="1005"/>
      <c r="E18" s="1113"/>
      <c r="F18" s="1009" t="s">
        <v>1415</v>
      </c>
      <c r="G18" s="1121" t="s">
        <v>1683</v>
      </c>
      <c r="H18" s="1142">
        <f>VLOOKUP("TV ESPECIAL ST 07 40H",RHE,10,FALSE)</f>
        <v>782.09</v>
      </c>
      <c r="I18" s="1143">
        <f>VLOOKUP("TV ESPECIAL ST 07 40H",RHE,12,FALSE)</f>
        <v>53</v>
      </c>
      <c r="J18" s="372"/>
      <c r="K18" s="1122"/>
      <c r="L18" s="1114"/>
      <c r="M18" s="372"/>
      <c r="N18" s="1116"/>
      <c r="O18" s="1118"/>
    </row>
    <row r="19" spans="1:15" ht="19.5" customHeight="1">
      <c r="A19" s="78"/>
      <c r="B19" s="1003" t="s">
        <v>867</v>
      </c>
      <c r="C19" s="1004">
        <f t="shared" si="0"/>
        <v>821.18</v>
      </c>
      <c r="D19" s="1005"/>
      <c r="E19" s="1113"/>
      <c r="F19" s="1009" t="s">
        <v>1416</v>
      </c>
      <c r="G19" s="1121" t="s">
        <v>1684</v>
      </c>
      <c r="H19" s="1142">
        <f>VLOOKUP("TV ESPECIAL ST 08 40H",RHE,10,FALSE)</f>
        <v>821.18</v>
      </c>
      <c r="I19" s="1143">
        <f>VLOOKUP("TV ESPECIAL ST 08 40H",RHE,12,FALSE)</f>
        <v>56</v>
      </c>
      <c r="J19" s="372"/>
      <c r="K19" s="1122"/>
      <c r="L19" s="1114"/>
      <c r="M19" s="372"/>
      <c r="N19" s="1116"/>
      <c r="O19" s="1118"/>
    </row>
    <row r="20" spans="1:15" ht="19.5" customHeight="1">
      <c r="A20" s="78"/>
      <c r="B20" s="1003" t="s">
        <v>868</v>
      </c>
      <c r="C20" s="1004">
        <f t="shared" si="0"/>
        <v>857.16</v>
      </c>
      <c r="D20" s="1005"/>
      <c r="E20" s="1113"/>
      <c r="F20" s="1009" t="s">
        <v>1417</v>
      </c>
      <c r="G20" s="1121" t="s">
        <v>1685</v>
      </c>
      <c r="H20" s="1142">
        <f>VLOOKUP("TV ESPECIAL ST 09 40H",RHE,10,FALSE)</f>
        <v>857.16</v>
      </c>
      <c r="I20" s="1143">
        <f>VLOOKUP("TV ESPECIAL ST 09 40H",RHE,12,FALSE)</f>
        <v>58</v>
      </c>
      <c r="J20" s="372"/>
      <c r="K20" s="1122"/>
      <c r="L20" s="1114"/>
      <c r="M20" s="372"/>
      <c r="N20" s="1116"/>
      <c r="O20" s="1118"/>
    </row>
    <row r="21" spans="1:15" ht="19.5" customHeight="1">
      <c r="A21" s="78"/>
      <c r="B21" s="1003" t="s">
        <v>869</v>
      </c>
      <c r="C21" s="1004">
        <f t="shared" si="0"/>
        <v>900.01</v>
      </c>
      <c r="D21" s="1005"/>
      <c r="E21" s="1113"/>
      <c r="F21" s="1009" t="s">
        <v>1292</v>
      </c>
      <c r="G21" s="1121" t="s">
        <v>1686</v>
      </c>
      <c r="H21" s="1142">
        <f>VLOOKUP("TV ESPECIAL ST 10 40H",RHE,10,FALSE)</f>
        <v>900.01</v>
      </c>
      <c r="I21" s="1143">
        <f>VLOOKUP("TV ESPECIAL ST 10 40H",RHE,12,FALSE)</f>
        <v>61</v>
      </c>
      <c r="J21" s="372"/>
      <c r="K21" s="1122"/>
      <c r="L21" s="1114"/>
      <c r="M21" s="372"/>
      <c r="N21" s="1116"/>
      <c r="O21" s="1118"/>
    </row>
    <row r="22" spans="1:15" ht="19.5" customHeight="1">
      <c r="A22" s="78"/>
      <c r="B22" s="1003" t="s">
        <v>708</v>
      </c>
      <c r="C22" s="1004">
        <f t="shared" si="0"/>
        <v>945.02</v>
      </c>
      <c r="D22" s="1005"/>
      <c r="E22" s="1113"/>
      <c r="F22" s="1009" t="s">
        <v>1293</v>
      </c>
      <c r="G22" s="1121" t="s">
        <v>1687</v>
      </c>
      <c r="H22" s="1142">
        <f>VLOOKUP("TV ESPECIAL ST 11 40H",RHE,10,FALSE)</f>
        <v>945.02</v>
      </c>
      <c r="I22" s="1143">
        <f>VLOOKUP("TV ESPECIAL ST 11 40H",RHE,12,FALSE)</f>
        <v>64</v>
      </c>
      <c r="J22" s="372"/>
      <c r="K22" s="1122"/>
      <c r="L22" s="30"/>
      <c r="M22" s="372"/>
      <c r="N22" s="1116"/>
      <c r="O22" s="1118"/>
    </row>
    <row r="23" spans="1:15" ht="19.5" customHeight="1">
      <c r="A23" s="78"/>
      <c r="B23" s="1003" t="s">
        <v>709</v>
      </c>
      <c r="C23" s="1004">
        <f t="shared" si="0"/>
        <v>992.27</v>
      </c>
      <c r="D23" s="1005"/>
      <c r="E23" s="1113"/>
      <c r="F23" s="1009" t="s">
        <v>1294</v>
      </c>
      <c r="G23" s="1121" t="s">
        <v>1688</v>
      </c>
      <c r="H23" s="1142">
        <f>VLOOKUP("TV ESPECIAL ST 12 40H",RHE,10,FALSE)</f>
        <v>992.27</v>
      </c>
      <c r="I23" s="1143">
        <f>VLOOKUP("TV ESPECIAL ST 12 40H",RHE,12,FALSE)</f>
        <v>67</v>
      </c>
      <c r="J23" s="372"/>
      <c r="K23" s="1116"/>
      <c r="L23" s="30"/>
      <c r="M23" s="1116"/>
      <c r="N23" s="1116"/>
      <c r="O23" s="1118"/>
    </row>
    <row r="24" spans="1:15" ht="19.5" customHeight="1">
      <c r="A24" s="78"/>
      <c r="B24" s="1003" t="s">
        <v>84</v>
      </c>
      <c r="C24" s="1004">
        <f t="shared" si="0"/>
        <v>1064.05</v>
      </c>
      <c r="D24" s="1005"/>
      <c r="E24" s="1113"/>
      <c r="F24" s="1009" t="s">
        <v>1295</v>
      </c>
      <c r="G24" s="1121" t="s">
        <v>1689</v>
      </c>
      <c r="H24" s="1142">
        <f>VLOOKUP("TV ESPECIAL ST 13 40H",RHE,10,FALSE)</f>
        <v>1064.05</v>
      </c>
      <c r="I24" s="1143">
        <f>VLOOKUP("TV ESPECIAL ST 13 40H",RHE,12,FALSE)</f>
        <v>72</v>
      </c>
      <c r="J24" s="30"/>
      <c r="K24" s="1116"/>
      <c r="L24" s="30"/>
      <c r="M24" s="1116"/>
      <c r="N24" s="1116"/>
      <c r="O24" s="1118"/>
    </row>
    <row r="25" spans="1:15" ht="19.5" customHeight="1">
      <c r="A25" s="78"/>
      <c r="B25" s="1003" t="s">
        <v>85</v>
      </c>
      <c r="C25" s="1004">
        <f t="shared" si="0"/>
        <v>1117.26</v>
      </c>
      <c r="D25" s="1005"/>
      <c r="E25" s="1113"/>
      <c r="F25" s="1009" t="s">
        <v>1296</v>
      </c>
      <c r="G25" s="1121" t="s">
        <v>1690</v>
      </c>
      <c r="H25" s="1142">
        <f>VLOOKUP("TV ESPECIAL ST 14 40H",RHE,10,FALSE)</f>
        <v>1117.26</v>
      </c>
      <c r="I25" s="1143">
        <f>VLOOKUP("TV ESPECIAL ST 14 40H",RHE,12,FALSE)</f>
        <v>76</v>
      </c>
      <c r="J25" s="30"/>
      <c r="K25" s="1116"/>
      <c r="L25" s="1123"/>
      <c r="M25" s="1123"/>
      <c r="N25" s="1116"/>
      <c r="O25" s="1118"/>
    </row>
    <row r="26" spans="1:15" ht="19.5" customHeight="1">
      <c r="A26" s="78"/>
      <c r="B26" s="1003" t="s">
        <v>715</v>
      </c>
      <c r="C26" s="1004">
        <f t="shared" si="0"/>
        <v>1173.12</v>
      </c>
      <c r="D26" s="1005"/>
      <c r="E26" s="1113"/>
      <c r="F26" s="1009" t="s">
        <v>1297</v>
      </c>
      <c r="G26" s="1121" t="s">
        <v>1691</v>
      </c>
      <c r="H26" s="1142">
        <f>VLOOKUP("TV ESPECIAL ST 15 40H",RHE,10,FALSE)</f>
        <v>1173.12</v>
      </c>
      <c r="I26" s="1143">
        <f>VLOOKUP("TV ESPECIAL ST 15 40H",RHE,12,FALSE)</f>
        <v>79</v>
      </c>
      <c r="J26" s="1116"/>
      <c r="K26" s="1116"/>
      <c r="L26" s="30"/>
      <c r="M26" s="1116"/>
      <c r="N26" s="1116"/>
      <c r="O26" s="1118"/>
    </row>
    <row r="27" spans="1:15" ht="19.5" customHeight="1">
      <c r="A27" s="78"/>
      <c r="B27" s="1003" t="s">
        <v>716</v>
      </c>
      <c r="C27" s="1004">
        <f t="shared" si="0"/>
        <v>1231.77</v>
      </c>
      <c r="D27" s="1005"/>
      <c r="E27" s="1113"/>
      <c r="F27" s="1012" t="s">
        <v>1298</v>
      </c>
      <c r="G27" s="1124" t="s">
        <v>1692</v>
      </c>
      <c r="H27" s="1144">
        <f>VLOOKUP("TV ESPECIAL ST 16 40H",RHE,10,FALSE)</f>
        <v>1231.77</v>
      </c>
      <c r="I27" s="1145">
        <f>VLOOKUP("TV ESPECIAL ST 16 40H",RHE,12,FALSE)</f>
        <v>83</v>
      </c>
      <c r="J27" s="1116"/>
      <c r="K27" s="1116"/>
      <c r="L27" s="1116"/>
      <c r="M27" s="1125"/>
      <c r="N27" s="1116"/>
      <c r="O27" s="1118"/>
    </row>
    <row r="28" spans="1:15" ht="19.5" customHeight="1">
      <c r="A28" s="78"/>
      <c r="B28" s="1003" t="s">
        <v>705</v>
      </c>
      <c r="C28" s="1004">
        <f>M12</f>
        <v>4937.65</v>
      </c>
      <c r="D28" s="1005"/>
      <c r="E28" s="1113"/>
      <c r="F28" s="1114"/>
      <c r="G28" s="1115"/>
      <c r="H28" s="1126"/>
      <c r="I28" s="949"/>
      <c r="J28" s="1116"/>
      <c r="K28" s="1116"/>
      <c r="L28" s="1125"/>
      <c r="M28" s="1125"/>
      <c r="N28" s="1116"/>
      <c r="O28" s="1118"/>
    </row>
    <row r="29" spans="1:15" ht="19.5" customHeight="1">
      <c r="A29" s="78"/>
      <c r="B29" s="1003" t="s">
        <v>706</v>
      </c>
      <c r="C29" s="1004">
        <f>M13</f>
        <v>5184.53</v>
      </c>
      <c r="D29" s="1005"/>
      <c r="E29" s="1113"/>
      <c r="F29" s="1114"/>
      <c r="G29" s="1115"/>
      <c r="H29" s="1126"/>
      <c r="I29" s="949"/>
      <c r="J29" s="1116"/>
      <c r="K29" s="1116"/>
      <c r="L29" s="1125"/>
      <c r="M29" s="1125"/>
      <c r="N29" s="1116"/>
      <c r="O29" s="1118"/>
    </row>
    <row r="30" spans="1:15" ht="19.5" customHeight="1">
      <c r="A30" s="78"/>
      <c r="B30" s="1003" t="s">
        <v>707</v>
      </c>
      <c r="C30" s="1004">
        <f>M14</f>
        <v>5443.77</v>
      </c>
      <c r="D30" s="1005"/>
      <c r="E30" s="1113"/>
      <c r="F30" s="1114"/>
      <c r="G30" s="1123"/>
      <c r="H30" s="1123"/>
      <c r="I30" s="949"/>
      <c r="J30" s="1116"/>
      <c r="K30" s="1116"/>
      <c r="L30" s="1125"/>
      <c r="M30" s="1125"/>
      <c r="N30" s="1116"/>
      <c r="O30" s="1118"/>
    </row>
    <row r="31" spans="1:15" ht="19.5" customHeight="1" thickBot="1">
      <c r="A31" s="78"/>
      <c r="B31" s="1020" t="s">
        <v>92</v>
      </c>
      <c r="C31" s="1021">
        <f>M15</f>
        <v>5715.95</v>
      </c>
      <c r="D31" s="1005"/>
      <c r="E31" s="1113"/>
      <c r="F31" s="372"/>
      <c r="G31" s="1127"/>
      <c r="H31" s="1126"/>
      <c r="I31" s="949"/>
      <c r="J31" s="1116"/>
      <c r="K31" s="1116"/>
      <c r="L31" s="1125"/>
      <c r="M31" s="1125"/>
      <c r="N31" s="1116"/>
      <c r="O31" s="1118"/>
    </row>
    <row r="32" spans="1:15" ht="19.5" customHeight="1">
      <c r="A32" s="78"/>
      <c r="B32" s="320" t="s">
        <v>1608</v>
      </c>
      <c r="C32" s="1146">
        <f>I12</f>
        <v>40</v>
      </c>
      <c r="D32" s="1005"/>
      <c r="E32" s="1130"/>
      <c r="F32" s="1131"/>
      <c r="G32" s="1132"/>
      <c r="H32" s="1131"/>
      <c r="I32" s="1133"/>
      <c r="J32" s="1134"/>
      <c r="K32" s="1134"/>
      <c r="L32" s="1135"/>
      <c r="M32" s="1135"/>
      <c r="N32" s="1134"/>
      <c r="O32" s="1136"/>
    </row>
    <row r="33" spans="1:15" ht="19.5" customHeight="1">
      <c r="A33" s="78"/>
      <c r="B33" s="66" t="s">
        <v>1609</v>
      </c>
      <c r="C33" s="1147">
        <f aca="true" t="shared" si="1" ref="C33:C47">I13</f>
        <v>42</v>
      </c>
      <c r="D33" s="1005"/>
      <c r="E33" s="1116"/>
      <c r="F33" s="1126"/>
      <c r="G33" s="1127"/>
      <c r="H33" s="1126"/>
      <c r="I33" s="949"/>
      <c r="L33" s="1116"/>
      <c r="M33" s="1125"/>
      <c r="N33" s="1116"/>
      <c r="O33" s="1116"/>
    </row>
    <row r="34" spans="1:15" ht="19.5" customHeight="1">
      <c r="A34" s="78"/>
      <c r="B34" s="66" t="s">
        <v>1610</v>
      </c>
      <c r="C34" s="1147">
        <f t="shared" si="1"/>
        <v>44</v>
      </c>
      <c r="D34" s="1005"/>
      <c r="E34" s="1116"/>
      <c r="F34" s="1126"/>
      <c r="G34" s="1115"/>
      <c r="H34" s="1126"/>
      <c r="I34" s="1116"/>
      <c r="L34" s="1116"/>
      <c r="M34" s="1116"/>
      <c r="N34" s="1116"/>
      <c r="O34" s="1116"/>
    </row>
    <row r="35" spans="1:15" ht="19.5" customHeight="1">
      <c r="A35" s="78"/>
      <c r="B35" s="66" t="s">
        <v>1611</v>
      </c>
      <c r="C35" s="1147">
        <f t="shared" si="1"/>
        <v>47</v>
      </c>
      <c r="D35" s="1005"/>
      <c r="E35" s="1116"/>
      <c r="F35" s="1126"/>
      <c r="G35" s="1115"/>
      <c r="H35" s="1126"/>
      <c r="I35" s="1116"/>
      <c r="L35" s="55"/>
      <c r="M35" s="1116"/>
      <c r="N35" s="1116"/>
      <c r="O35" s="1116"/>
    </row>
    <row r="36" spans="1:15" ht="19.5" customHeight="1">
      <c r="A36" s="78"/>
      <c r="B36" s="66" t="s">
        <v>1612</v>
      </c>
      <c r="C36" s="1147">
        <f t="shared" si="1"/>
        <v>48</v>
      </c>
      <c r="D36" s="1005"/>
      <c r="E36" s="1116"/>
      <c r="F36" s="1126"/>
      <c r="G36" s="1115"/>
      <c r="H36" s="1126"/>
      <c r="I36" s="229"/>
      <c r="L36" s="55"/>
      <c r="M36" s="1018"/>
      <c r="N36" s="229"/>
      <c r="O36" s="229"/>
    </row>
    <row r="37" spans="1:15" ht="19.5" customHeight="1">
      <c r="A37" s="78"/>
      <c r="B37" s="66" t="s">
        <v>1613</v>
      </c>
      <c r="C37" s="1147">
        <f t="shared" si="1"/>
        <v>51</v>
      </c>
      <c r="D37" s="1005"/>
      <c r="E37" s="1116"/>
      <c r="F37" s="1126"/>
      <c r="G37" s="1115"/>
      <c r="H37" s="1126"/>
      <c r="I37" s="229"/>
      <c r="L37" s="1116"/>
      <c r="M37" s="1018"/>
      <c r="N37" s="229"/>
      <c r="O37" s="229"/>
    </row>
    <row r="38" spans="1:15" ht="19.5" customHeight="1">
      <c r="A38" s="78"/>
      <c r="B38" s="66" t="s">
        <v>1614</v>
      </c>
      <c r="C38" s="1147">
        <f t="shared" si="1"/>
        <v>53</v>
      </c>
      <c r="D38" s="1005"/>
      <c r="E38" s="1116"/>
      <c r="F38" s="1114"/>
      <c r="G38" s="1115"/>
      <c r="H38" s="1114"/>
      <c r="I38" s="1116"/>
      <c r="L38" s="1126"/>
      <c r="M38" s="1116"/>
      <c r="N38" s="1116"/>
      <c r="O38" s="1116"/>
    </row>
    <row r="39" spans="1:15" ht="19.5" customHeight="1">
      <c r="A39" s="78"/>
      <c r="B39" s="66" t="s">
        <v>1615</v>
      </c>
      <c r="C39" s="1147">
        <f t="shared" si="1"/>
        <v>56</v>
      </c>
      <c r="D39" s="1005"/>
      <c r="E39" s="1116"/>
      <c r="F39" s="1114"/>
      <c r="G39" s="1115"/>
      <c r="H39" s="1114"/>
      <c r="I39" s="949"/>
      <c r="L39" s="1126"/>
      <c r="M39" s="1115"/>
      <c r="N39" s="949"/>
      <c r="O39" s="949"/>
    </row>
    <row r="40" spans="1:15" ht="19.5" customHeight="1">
      <c r="A40" s="78"/>
      <c r="B40" s="66" t="s">
        <v>1616</v>
      </c>
      <c r="C40" s="1147">
        <f t="shared" si="1"/>
        <v>58</v>
      </c>
      <c r="D40" s="1005"/>
      <c r="E40" s="1116"/>
      <c r="F40" s="55"/>
      <c r="G40" s="1018"/>
      <c r="H40" s="55"/>
      <c r="I40" s="949"/>
      <c r="L40" s="1126"/>
      <c r="M40" s="1115"/>
      <c r="N40" s="949"/>
      <c r="O40" s="949"/>
    </row>
    <row r="41" spans="1:15" ht="19.5" customHeight="1">
      <c r="A41" s="78"/>
      <c r="B41" s="66" t="s">
        <v>1617</v>
      </c>
      <c r="C41" s="1147">
        <f t="shared" si="1"/>
        <v>61</v>
      </c>
      <c r="D41" s="1005"/>
      <c r="E41" s="1116"/>
      <c r="F41" s="55"/>
      <c r="G41" s="1018"/>
      <c r="H41" s="55"/>
      <c r="I41" s="949"/>
      <c r="L41" s="1116"/>
      <c r="M41" s="1115"/>
      <c r="N41" s="949"/>
      <c r="O41" s="949"/>
    </row>
    <row r="42" spans="1:15" ht="19.5" customHeight="1">
      <c r="A42" s="78"/>
      <c r="B42" s="66" t="s">
        <v>1618</v>
      </c>
      <c r="C42" s="1147">
        <f t="shared" si="1"/>
        <v>64</v>
      </c>
      <c r="D42" s="1005"/>
      <c r="E42" s="1116"/>
      <c r="F42" s="1114"/>
      <c r="G42" s="1115"/>
      <c r="H42" s="1114"/>
      <c r="I42" s="1116"/>
      <c r="L42" s="30"/>
      <c r="M42" s="1116"/>
      <c r="N42" s="1116"/>
      <c r="O42" s="1116"/>
    </row>
    <row r="43" spans="2:15" ht="19.5" customHeight="1">
      <c r="B43" s="66" t="s">
        <v>1619</v>
      </c>
      <c r="C43" s="1147">
        <f t="shared" si="1"/>
        <v>67</v>
      </c>
      <c r="D43" s="1005"/>
      <c r="E43" s="1116"/>
      <c r="F43" s="1126"/>
      <c r="G43" s="1115"/>
      <c r="H43" s="1126"/>
      <c r="I43" s="1116"/>
      <c r="J43" s="1116"/>
      <c r="K43" s="1116"/>
      <c r="L43" s="1116"/>
      <c r="M43" s="30"/>
      <c r="N43" s="1116"/>
      <c r="O43" s="1116"/>
    </row>
    <row r="44" spans="1:15" ht="19.5" customHeight="1">
      <c r="A44" s="78"/>
      <c r="B44" s="66" t="s">
        <v>1620</v>
      </c>
      <c r="C44" s="1147">
        <f t="shared" si="1"/>
        <v>72</v>
      </c>
      <c r="D44" s="1005"/>
      <c r="E44" s="1116"/>
      <c r="F44" s="1126"/>
      <c r="G44" s="1115"/>
      <c r="H44" s="1126"/>
      <c r="I44" s="1116"/>
      <c r="J44" s="1116"/>
      <c r="K44" s="1116"/>
      <c r="L44" s="1116"/>
      <c r="M44" s="1116"/>
      <c r="N44" s="1116"/>
      <c r="O44" s="1116"/>
    </row>
    <row r="45" spans="1:15" ht="19.5" customHeight="1">
      <c r="A45" s="78"/>
      <c r="B45" s="66" t="s">
        <v>1621</v>
      </c>
      <c r="C45" s="1147">
        <f t="shared" si="1"/>
        <v>76</v>
      </c>
      <c r="D45" s="1005"/>
      <c r="F45" s="1126"/>
      <c r="G45" s="1115"/>
      <c r="H45" s="1126"/>
      <c r="M45" s="1116"/>
      <c r="N45" s="1116"/>
      <c r="O45" s="1116"/>
    </row>
    <row r="46" spans="1:15" ht="19.5" customHeight="1">
      <c r="A46" s="78"/>
      <c r="B46" s="66" t="s">
        <v>1622</v>
      </c>
      <c r="C46" s="1147">
        <f t="shared" si="1"/>
        <v>79</v>
      </c>
      <c r="D46" s="1005"/>
      <c r="E46" s="1116"/>
      <c r="F46" s="1114"/>
      <c r="G46" s="1115"/>
      <c r="H46" s="1114"/>
      <c r="I46" s="1116"/>
      <c r="M46" s="1116"/>
      <c r="N46" s="1116"/>
      <c r="O46" s="1116"/>
    </row>
    <row r="47" spans="1:15" ht="19.5" customHeight="1" thickBot="1">
      <c r="A47" s="78"/>
      <c r="B47" s="67" t="s">
        <v>1623</v>
      </c>
      <c r="C47" s="1148">
        <f t="shared" si="1"/>
        <v>83</v>
      </c>
      <c r="D47" s="1005"/>
      <c r="E47" s="1116"/>
      <c r="F47" s="1114"/>
      <c r="G47" s="1115"/>
      <c r="H47" s="1114"/>
      <c r="I47" s="1116"/>
      <c r="M47" s="1116"/>
      <c r="N47" s="1116"/>
      <c r="O47" s="1116"/>
    </row>
    <row r="48" spans="1:15" ht="19.5" customHeight="1">
      <c r="A48" s="78"/>
      <c r="B48" s="1128"/>
      <c r="C48" s="1129"/>
      <c r="D48" s="1005"/>
      <c r="E48" s="1116"/>
      <c r="F48" s="1114"/>
      <c r="G48" s="1115"/>
      <c r="H48" s="1114"/>
      <c r="I48" s="1116"/>
      <c r="M48" s="1116"/>
      <c r="N48" s="1116"/>
      <c r="O48" s="1116"/>
    </row>
    <row r="49" spans="1:15" ht="19.5" customHeight="1">
      <c r="A49" s="78"/>
      <c r="B49" s="1128"/>
      <c r="C49" s="1129"/>
      <c r="D49" s="1005"/>
      <c r="M49" s="1116"/>
      <c r="N49" s="1116"/>
      <c r="O49" s="1116"/>
    </row>
    <row r="50" spans="1:4" ht="19.5" customHeight="1">
      <c r="A50" s="78"/>
      <c r="B50" s="1128"/>
      <c r="C50" s="1129"/>
      <c r="D50" s="1005"/>
    </row>
    <row r="51" spans="1:4" ht="19.5" customHeight="1">
      <c r="A51" s="78"/>
      <c r="B51" s="1128"/>
      <c r="C51" s="1129"/>
      <c r="D51" s="1005"/>
    </row>
    <row r="52" spans="2:4" ht="19.5" customHeight="1">
      <c r="B52" s="1128"/>
      <c r="C52" s="1129"/>
      <c r="D52" s="1005"/>
    </row>
    <row r="53" spans="2:4" ht="19.5" customHeight="1">
      <c r="B53" s="1128"/>
      <c r="C53" s="1129"/>
      <c r="D53" s="1005"/>
    </row>
    <row r="54" spans="2:8" ht="19.5" customHeight="1">
      <c r="B54" s="1128"/>
      <c r="C54" s="1129"/>
      <c r="D54" s="1005"/>
      <c r="F54" s="1098"/>
      <c r="H54" s="1098"/>
    </row>
    <row r="55" spans="2:4" ht="19.5" customHeight="1">
      <c r="B55" s="1128"/>
      <c r="C55" s="1129"/>
      <c r="D55" s="1005"/>
    </row>
    <row r="56" ht="19.5" customHeight="1">
      <c r="D56" s="1005"/>
    </row>
    <row r="57" spans="2:4" ht="19.5" customHeight="1">
      <c r="B57" s="1128"/>
      <c r="C57" s="1129"/>
      <c r="D57" s="1005"/>
    </row>
    <row r="58" spans="1:4" ht="19.5" customHeight="1">
      <c r="A58" s="78"/>
      <c r="B58" s="1128"/>
      <c r="C58" s="1129"/>
      <c r="D58" s="1005"/>
    </row>
    <row r="59" spans="1:4" ht="19.5" customHeight="1">
      <c r="A59" s="78"/>
      <c r="B59" s="1128"/>
      <c r="C59" s="1129"/>
      <c r="D59" s="1005"/>
    </row>
    <row r="60" spans="1:4" ht="19.5" customHeight="1">
      <c r="A60" s="78"/>
      <c r="B60" s="1116"/>
      <c r="C60" s="1116"/>
      <c r="D60" s="1129"/>
    </row>
    <row r="61" spans="1:4" ht="19.5" customHeight="1">
      <c r="A61" s="78"/>
      <c r="B61" s="1116"/>
      <c r="C61" s="1116"/>
      <c r="D61" s="1129"/>
    </row>
    <row r="62" ht="19.5" customHeight="1">
      <c r="D62" s="1129"/>
    </row>
    <row r="63" ht="19.5" customHeight="1">
      <c r="D63" s="1129"/>
    </row>
    <row r="64" ht="19.5" customHeight="1">
      <c r="D64" s="1129"/>
    </row>
    <row r="65" ht="19.5" customHeight="1">
      <c r="D65" s="1129"/>
    </row>
    <row r="66" ht="19.5" customHeight="1">
      <c r="D66" s="1129"/>
    </row>
    <row r="67" ht="19.5" customHeight="1">
      <c r="D67" s="1129"/>
    </row>
    <row r="68" spans="2:4" ht="19.5" customHeight="1">
      <c r="B68" s="1139"/>
      <c r="C68" s="1139"/>
      <c r="D68" s="1129"/>
    </row>
    <row r="69" spans="2:4" ht="19.5" customHeight="1">
      <c r="B69" s="1139"/>
      <c r="C69" s="1139"/>
      <c r="D69" s="1129"/>
    </row>
    <row r="70" spans="2:4" ht="19.5" customHeight="1">
      <c r="B70" s="1139"/>
      <c r="C70" s="1139"/>
      <c r="D70" s="1129"/>
    </row>
    <row r="71" spans="2:4" ht="19.5" customHeight="1">
      <c r="B71" s="1139"/>
      <c r="C71" s="1139"/>
      <c r="D71" s="1129"/>
    </row>
    <row r="72" spans="2:4" ht="19.5" customHeight="1">
      <c r="B72" s="1139"/>
      <c r="C72" s="1139"/>
      <c r="D72" s="1129"/>
    </row>
    <row r="73" spans="2:4" ht="19.5" customHeight="1">
      <c r="B73" s="1139"/>
      <c r="C73" s="1139"/>
      <c r="D73" s="1129"/>
    </row>
    <row r="74" spans="2:4" ht="19.5" customHeight="1">
      <c r="B74" s="1139"/>
      <c r="C74" s="1139"/>
      <c r="D74" s="1129"/>
    </row>
    <row r="75" spans="2:4" ht="19.5" customHeight="1">
      <c r="B75" s="1139"/>
      <c r="C75" s="1139"/>
      <c r="D75" s="1129"/>
    </row>
    <row r="76" spans="2:4" ht="19.5" customHeight="1">
      <c r="B76" s="1139"/>
      <c r="C76" s="1139"/>
      <c r="D76" s="1129"/>
    </row>
    <row r="77" spans="2:4" ht="19.5" customHeight="1">
      <c r="B77" s="1139"/>
      <c r="C77" s="1139"/>
      <c r="D77" s="1129"/>
    </row>
    <row r="78" spans="2:4" ht="19.5" customHeight="1">
      <c r="B78" s="1139"/>
      <c r="C78" s="1139"/>
      <c r="D78" s="1129"/>
    </row>
    <row r="79" spans="2:4" ht="19.5" customHeight="1">
      <c r="B79" s="1139"/>
      <c r="C79" s="1139"/>
      <c r="D79" s="1129"/>
    </row>
    <row r="80" spans="2:4" ht="19.5" customHeight="1">
      <c r="B80" s="1139"/>
      <c r="C80" s="1139"/>
      <c r="D80" s="1129"/>
    </row>
    <row r="81" spans="2:4" ht="19.5" customHeight="1">
      <c r="B81" s="1139"/>
      <c r="C81" s="1139"/>
      <c r="D81" s="1129"/>
    </row>
    <row r="82" spans="2:4" ht="19.5" customHeight="1">
      <c r="B82" s="1139"/>
      <c r="C82" s="1139"/>
      <c r="D82" s="1129"/>
    </row>
    <row r="83" spans="2:4" ht="19.5" customHeight="1">
      <c r="B83" s="1139"/>
      <c r="C83" s="1139"/>
      <c r="D83" s="1129"/>
    </row>
    <row r="84" spans="2:3" ht="19.5" customHeight="1">
      <c r="B84" s="1139"/>
      <c r="C84" s="1139"/>
    </row>
    <row r="85" spans="2:4" ht="19.5" customHeight="1">
      <c r="B85" s="1139"/>
      <c r="C85" s="1139"/>
      <c r="D85" s="1129"/>
    </row>
    <row r="86" spans="2:4" ht="19.5" customHeight="1">
      <c r="B86" s="1139"/>
      <c r="C86" s="1139"/>
      <c r="D86" s="1129"/>
    </row>
    <row r="87" spans="2:4" ht="19.5" customHeight="1">
      <c r="B87" s="1139"/>
      <c r="C87" s="1139"/>
      <c r="D87" s="1129"/>
    </row>
    <row r="88" spans="2:4" ht="19.5" customHeight="1">
      <c r="B88" s="1139"/>
      <c r="C88" s="1139"/>
      <c r="D88" s="1116"/>
    </row>
    <row r="89" ht="19.5" customHeight="1">
      <c r="D89" s="1116"/>
    </row>
    <row r="96" ht="19.5" customHeight="1">
      <c r="D96" s="1139"/>
    </row>
    <row r="97" ht="19.5" customHeight="1">
      <c r="D97" s="1139"/>
    </row>
    <row r="98" ht="19.5" customHeight="1">
      <c r="D98" s="1139"/>
    </row>
    <row r="99" ht="19.5" customHeight="1">
      <c r="D99" s="1139"/>
    </row>
    <row r="100" ht="19.5" customHeight="1">
      <c r="D100" s="1139"/>
    </row>
    <row r="101" ht="19.5" customHeight="1">
      <c r="D101" s="1139"/>
    </row>
    <row r="102" ht="19.5" customHeight="1">
      <c r="D102" s="1139"/>
    </row>
    <row r="103" ht="19.5" customHeight="1">
      <c r="D103" s="1139"/>
    </row>
    <row r="104" ht="19.5" customHeight="1">
      <c r="D104" s="1139"/>
    </row>
    <row r="105" ht="19.5" customHeight="1">
      <c r="D105" s="1139"/>
    </row>
    <row r="106" ht="19.5" customHeight="1">
      <c r="D106" s="1139"/>
    </row>
    <row r="107" ht="19.5" customHeight="1">
      <c r="D107" s="1139"/>
    </row>
    <row r="108" ht="19.5" customHeight="1">
      <c r="D108" s="1139"/>
    </row>
    <row r="109" ht="19.5" customHeight="1">
      <c r="D109" s="1139"/>
    </row>
    <row r="110" ht="19.5" customHeight="1">
      <c r="D110" s="1139"/>
    </row>
    <row r="111" ht="19.5" customHeight="1">
      <c r="D111" s="1139"/>
    </row>
    <row r="112" ht="19.5" customHeight="1">
      <c r="D112" s="1139"/>
    </row>
    <row r="113" ht="19.5" customHeight="1">
      <c r="D113" s="1139"/>
    </row>
    <row r="114" ht="19.5" customHeight="1">
      <c r="D114" s="1139"/>
    </row>
    <row r="115" ht="19.5" customHeight="1">
      <c r="D115" s="1139"/>
    </row>
    <row r="116" ht="19.5" customHeight="1">
      <c r="D116" s="1139"/>
    </row>
  </sheetData>
  <sheetProtection/>
  <mergeCells count="7">
    <mergeCell ref="E3:F3"/>
    <mergeCell ref="G3:M3"/>
    <mergeCell ref="N3:O3"/>
    <mergeCell ref="G4:M4"/>
    <mergeCell ref="N4:O4"/>
    <mergeCell ref="K8:M8"/>
    <mergeCell ref="F8:I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Z129"/>
  <sheetViews>
    <sheetView zoomScalePageLayoutView="0" workbookViewId="0" topLeftCell="H1">
      <selection activeCell="M11" sqref="M11:N64"/>
    </sheetView>
  </sheetViews>
  <sheetFormatPr defaultColWidth="12.57421875" defaultRowHeight="12.75"/>
  <cols>
    <col min="1" max="1" width="5.421875" style="1" customWidth="1"/>
    <col min="2" max="2" width="2.7109375" style="31" customWidth="1"/>
    <col min="3" max="3" width="9.57421875" style="31" customWidth="1"/>
    <col min="4" max="4" width="8.00390625" style="31" customWidth="1"/>
    <col min="5" max="5" width="25.8515625" style="31" customWidth="1"/>
    <col min="6" max="6" width="10.00390625" style="31" customWidth="1"/>
    <col min="7" max="7" width="10.00390625" style="79" customWidth="1"/>
    <col min="8" max="8" width="10.8515625" style="79" customWidth="1"/>
    <col min="9" max="9" width="9.57421875" style="79" customWidth="1"/>
    <col min="10" max="10" width="15.140625" style="31" customWidth="1"/>
    <col min="11" max="11" width="1.8515625" style="31" customWidth="1"/>
    <col min="12" max="12" width="3.8515625" style="77" customWidth="1"/>
    <col min="13" max="14" width="10.00390625" style="31" customWidth="1"/>
    <col min="15" max="15" width="5.7109375" style="31" customWidth="1"/>
    <col min="16" max="16" width="2.7109375" style="31" customWidth="1"/>
    <col min="17" max="17" width="9.57421875" style="31" customWidth="1"/>
    <col min="18" max="18" width="8.00390625" style="31" customWidth="1"/>
    <col min="19" max="19" width="25.8515625" style="31" customWidth="1"/>
    <col min="20" max="20" width="10.00390625" style="31" customWidth="1"/>
    <col min="21" max="21" width="10.00390625" style="79" customWidth="1"/>
    <col min="22" max="22" width="10.8515625" style="79" customWidth="1"/>
    <col min="23" max="23" width="9.57421875" style="79" customWidth="1"/>
    <col min="24" max="24" width="15.140625" style="31" customWidth="1"/>
    <col min="25" max="25" width="10.57421875" style="31" customWidth="1"/>
    <col min="26" max="16384" width="12.57421875" style="1" customWidth="1"/>
  </cols>
  <sheetData>
    <row r="1" ht="12.75">
      <c r="L1" s="280"/>
    </row>
    <row r="2" ht="12.75">
      <c r="L2" s="280"/>
    </row>
    <row r="3" spans="2:26" ht="12.75">
      <c r="B3" s="94"/>
      <c r="C3" s="95"/>
      <c r="D3" s="95"/>
      <c r="E3" s="95"/>
      <c r="F3" s="95"/>
      <c r="G3" s="585"/>
      <c r="H3" s="585"/>
      <c r="I3" s="585"/>
      <c r="J3" s="95"/>
      <c r="K3" s="96" t="s">
        <v>1079</v>
      </c>
      <c r="L3" s="281"/>
      <c r="P3" s="94"/>
      <c r="Q3" s="95"/>
      <c r="R3" s="95"/>
      <c r="S3" s="95"/>
      <c r="T3" s="95"/>
      <c r="U3" s="585"/>
      <c r="V3" s="585"/>
      <c r="W3" s="585"/>
      <c r="X3" s="95"/>
      <c r="Y3" s="96" t="s">
        <v>1079</v>
      </c>
      <c r="Z3" s="31"/>
    </row>
    <row r="4" spans="2:26" ht="15">
      <c r="B4" s="1280" t="s">
        <v>274</v>
      </c>
      <c r="C4" s="1223"/>
      <c r="D4" s="98"/>
      <c r="E4" s="1223" t="s">
        <v>228</v>
      </c>
      <c r="F4" s="1223"/>
      <c r="G4" s="1223"/>
      <c r="H4" s="1223"/>
      <c r="I4" s="1223"/>
      <c r="J4" s="1223" t="s">
        <v>252</v>
      </c>
      <c r="K4" s="1263"/>
      <c r="L4" s="281"/>
      <c r="P4" s="1280" t="s">
        <v>274</v>
      </c>
      <c r="Q4" s="1223"/>
      <c r="R4" s="98"/>
      <c r="S4" s="1223" t="s">
        <v>228</v>
      </c>
      <c r="T4" s="1223"/>
      <c r="U4" s="1223"/>
      <c r="V4" s="1223"/>
      <c r="W4" s="1223"/>
      <c r="X4" s="1223" t="s">
        <v>252</v>
      </c>
      <c r="Y4" s="1263"/>
      <c r="Z4" s="31"/>
    </row>
    <row r="5" spans="2:26" ht="15">
      <c r="B5" s="1269"/>
      <c r="C5" s="1270"/>
      <c r="D5" s="98"/>
      <c r="E5" s="1223" t="s">
        <v>251</v>
      </c>
      <c r="F5" s="1223"/>
      <c r="G5" s="1223"/>
      <c r="H5" s="1223"/>
      <c r="I5" s="1223"/>
      <c r="J5" s="1264">
        <f>MAX(VLOOKUP("TV POLICIA CIVIL 01 40H",RHE,5,FALSE),VLOOKUP("TV BRIGADA MILITAR 01 40H",RHE,5,FALSE))</f>
        <v>41671</v>
      </c>
      <c r="K5" s="1265"/>
      <c r="L5" s="281"/>
      <c r="P5" s="1269"/>
      <c r="Q5" s="1270"/>
      <c r="R5" s="98"/>
      <c r="S5" s="1223" t="s">
        <v>251</v>
      </c>
      <c r="T5" s="1223"/>
      <c r="U5" s="1223"/>
      <c r="V5" s="1223"/>
      <c r="W5" s="1223"/>
      <c r="X5" s="1264">
        <f>MAX(VLOOKUP("TV POLICIA CIVIL 01 40H",RHE,5,FALSE),VLOOKUP("TV BRIGADA MILITAR 01 40H",RHE,5,FALSE))</f>
        <v>41671</v>
      </c>
      <c r="Y5" s="1265"/>
      <c r="Z5" s="31"/>
    </row>
    <row r="6" spans="2:26" ht="12.75">
      <c r="B6" s="1271"/>
      <c r="C6" s="1272"/>
      <c r="D6" s="325"/>
      <c r="E6" s="101"/>
      <c r="F6" s="101"/>
      <c r="G6" s="586"/>
      <c r="H6" s="586"/>
      <c r="I6" s="1274" t="s">
        <v>1418</v>
      </c>
      <c r="J6" s="1274"/>
      <c r="K6" s="102"/>
      <c r="L6" s="281"/>
      <c r="P6" s="1271"/>
      <c r="Q6" s="1272"/>
      <c r="R6" s="325"/>
      <c r="S6" s="101"/>
      <c r="T6" s="101"/>
      <c r="U6" s="586"/>
      <c r="V6" s="586"/>
      <c r="W6" s="586"/>
      <c r="X6" s="101"/>
      <c r="Y6" s="102"/>
      <c r="Z6" s="31"/>
    </row>
    <row r="7" spans="2:26" ht="12.75">
      <c r="B7" s="103"/>
      <c r="C7" s="104"/>
      <c r="D7" s="104"/>
      <c r="E7" s="104"/>
      <c r="F7" s="104"/>
      <c r="G7" s="149"/>
      <c r="H7" s="149"/>
      <c r="I7" s="149"/>
      <c r="J7" s="104"/>
      <c r="K7" s="105"/>
      <c r="L7" s="281"/>
      <c r="M7" s="81"/>
      <c r="N7" s="81"/>
      <c r="P7" s="103"/>
      <c r="Q7" s="104"/>
      <c r="R7" s="104"/>
      <c r="S7" s="104"/>
      <c r="T7" s="104"/>
      <c r="U7" s="149"/>
      <c r="V7" s="149"/>
      <c r="W7" s="149"/>
      <c r="X7" s="104"/>
      <c r="Y7" s="105"/>
      <c r="Z7" s="31"/>
    </row>
    <row r="8" spans="2:26" ht="12.75">
      <c r="B8" s="70"/>
      <c r="C8" s="29"/>
      <c r="D8" s="29"/>
      <c r="E8" s="91"/>
      <c r="F8" s="91"/>
      <c r="G8" s="131"/>
      <c r="H8" s="131"/>
      <c r="I8" s="131"/>
      <c r="J8" s="29"/>
      <c r="K8" s="71"/>
      <c r="L8" s="282"/>
      <c r="M8" s="81"/>
      <c r="N8" s="81"/>
      <c r="P8" s="70"/>
      <c r="Q8" s="29"/>
      <c r="R8" s="29"/>
      <c r="S8" s="91"/>
      <c r="T8" s="91"/>
      <c r="U8" s="131"/>
      <c r="V8" s="131"/>
      <c r="W8" s="131"/>
      <c r="X8" s="29"/>
      <c r="Y8" s="71"/>
      <c r="Z8" s="31"/>
    </row>
    <row r="9" spans="2:26" ht="20.25" customHeight="1">
      <c r="B9" s="70"/>
      <c r="C9" s="29"/>
      <c r="D9" s="110" t="s">
        <v>721</v>
      </c>
      <c r="E9" s="92" t="s">
        <v>227</v>
      </c>
      <c r="F9" s="93" t="s">
        <v>1408</v>
      </c>
      <c r="G9" s="92" t="s">
        <v>439</v>
      </c>
      <c r="H9" s="110" t="s">
        <v>266</v>
      </c>
      <c r="I9" s="110" t="s">
        <v>267</v>
      </c>
      <c r="J9" s="111"/>
      <c r="K9" s="71"/>
      <c r="L9" s="282"/>
      <c r="M9" s="81"/>
      <c r="N9" s="81"/>
      <c r="P9" s="70"/>
      <c r="Q9" s="29"/>
      <c r="R9" s="110" t="s">
        <v>721</v>
      </c>
      <c r="S9" s="92" t="s">
        <v>227</v>
      </c>
      <c r="T9" s="93" t="s">
        <v>1408</v>
      </c>
      <c r="U9" s="93" t="s">
        <v>1420</v>
      </c>
      <c r="V9" s="92" t="s">
        <v>439</v>
      </c>
      <c r="W9" s="110" t="s">
        <v>266</v>
      </c>
      <c r="X9" s="110" t="s">
        <v>267</v>
      </c>
      <c r="Y9" s="71"/>
      <c r="Z9" s="31"/>
    </row>
    <row r="10" spans="2:26" ht="13.5" thickBot="1">
      <c r="B10" s="70"/>
      <c r="C10" s="29"/>
      <c r="D10" s="29"/>
      <c r="E10" s="29"/>
      <c r="F10" s="29"/>
      <c r="G10" s="131"/>
      <c r="H10" s="131"/>
      <c r="I10" s="131"/>
      <c r="J10" s="29"/>
      <c r="K10" s="71"/>
      <c r="L10" s="282"/>
      <c r="M10" s="81"/>
      <c r="N10" s="81"/>
      <c r="P10" s="70"/>
      <c r="Q10" s="29"/>
      <c r="R10" s="29"/>
      <c r="S10" s="29"/>
      <c r="T10" s="29"/>
      <c r="U10" s="29"/>
      <c r="V10" s="131"/>
      <c r="W10" s="131"/>
      <c r="X10" s="131"/>
      <c r="Y10" s="71"/>
      <c r="Z10" s="31"/>
    </row>
    <row r="11" spans="2:26" ht="13.5" thickBot="1">
      <c r="B11" s="70"/>
      <c r="C11" s="29"/>
      <c r="D11" s="446" t="s">
        <v>1411</v>
      </c>
      <c r="E11" s="460" t="s">
        <v>1053</v>
      </c>
      <c r="F11" s="965">
        <v>401.3</v>
      </c>
      <c r="G11" s="966"/>
      <c r="H11" s="966">
        <v>222</v>
      </c>
      <c r="I11" s="967"/>
      <c r="J11" s="29"/>
      <c r="K11" s="71"/>
      <c r="L11" s="770"/>
      <c r="M11" s="1151" t="s">
        <v>725</v>
      </c>
      <c r="N11" s="1152">
        <f>TAB03_DATA_VAL</f>
        <v>41671</v>
      </c>
      <c r="P11" s="70"/>
      <c r="Q11" s="29"/>
      <c r="R11" s="446" t="s">
        <v>1411</v>
      </c>
      <c r="S11" s="460" t="s">
        <v>1053</v>
      </c>
      <c r="T11" s="853">
        <f>VLOOKUP("TV POLICIA CIVIL 01 40H",RHE,10,FALSE)</f>
        <v>578.73</v>
      </c>
      <c r="U11" s="853">
        <f>VLOOKUP("TV POLICIA CIVIL 01 40H",RHE,18,FALSE)</f>
        <v>1986.85</v>
      </c>
      <c r="V11" s="854"/>
      <c r="W11" s="854">
        <f>VLOOKUP("TV POLICIA CIVIL 01 40H",RHE,12,FALSE)</f>
        <v>222</v>
      </c>
      <c r="X11" s="855"/>
      <c r="Y11" s="71"/>
      <c r="Z11" s="31"/>
    </row>
    <row r="12" spans="2:26" ht="12.75">
      <c r="B12" s="70"/>
      <c r="C12" s="29"/>
      <c r="D12" s="449" t="s">
        <v>1412</v>
      </c>
      <c r="E12" s="462" t="s">
        <v>1054</v>
      </c>
      <c r="F12" s="968">
        <v>467.64</v>
      </c>
      <c r="G12" s="969"/>
      <c r="H12" s="969">
        <v>222</v>
      </c>
      <c r="I12" s="970"/>
      <c r="J12" s="29"/>
      <c r="K12" s="71"/>
      <c r="L12" s="771"/>
      <c r="M12" s="189" t="s">
        <v>289</v>
      </c>
      <c r="N12" s="65">
        <f>TAB03_PD03</f>
        <v>578.73</v>
      </c>
      <c r="P12" s="70"/>
      <c r="Q12" s="29"/>
      <c r="R12" s="449" t="s">
        <v>1412</v>
      </c>
      <c r="S12" s="462" t="s">
        <v>1054</v>
      </c>
      <c r="T12" s="856">
        <f>VLOOKUP("TV POLICIA CIVIL 02 40H",RHE,10,FALSE)</f>
        <v>661.41</v>
      </c>
      <c r="U12" s="856">
        <f>VLOOKUP("TV POLICIA CIVIL 02 40H",RHE,18,FALSE)</f>
        <v>2483.93</v>
      </c>
      <c r="V12" s="857"/>
      <c r="W12" s="857">
        <f>VLOOKUP("TV POLICIA CIVIL 02 40H",RHE,12,FALSE)</f>
        <v>222</v>
      </c>
      <c r="X12" s="858"/>
      <c r="Y12" s="71"/>
      <c r="Z12" s="31"/>
    </row>
    <row r="13" spans="2:26" ht="12.75">
      <c r="B13" s="70"/>
      <c r="C13" s="29"/>
      <c r="D13" s="449" t="s">
        <v>1413</v>
      </c>
      <c r="E13" s="462" t="s">
        <v>1055</v>
      </c>
      <c r="F13" s="968">
        <v>529.06</v>
      </c>
      <c r="G13" s="969"/>
      <c r="H13" s="969">
        <v>222</v>
      </c>
      <c r="I13" s="970"/>
      <c r="J13" s="29"/>
      <c r="K13" s="71"/>
      <c r="L13" s="771"/>
      <c r="M13" s="189" t="s">
        <v>60</v>
      </c>
      <c r="N13" s="65">
        <f>TAB03_PD04</f>
        <v>661.41</v>
      </c>
      <c r="P13" s="70"/>
      <c r="Q13" s="29"/>
      <c r="R13" s="449" t="s">
        <v>1413</v>
      </c>
      <c r="S13" s="462" t="s">
        <v>1055</v>
      </c>
      <c r="T13" s="856">
        <f>VLOOKUP("TV POLICIA CIVIL 03 40H",RHE,10,FALSE)</f>
        <v>732.27</v>
      </c>
      <c r="U13" s="856">
        <f>VLOOKUP("TV POLICIA CIVIL 03 40H",RHE,18,FALSE)</f>
        <v>3209.09</v>
      </c>
      <c r="V13" s="857"/>
      <c r="W13" s="857">
        <f>VLOOKUP("TV POLICIA CIVIL 03 40H",RHE,12,FALSE)</f>
        <v>222</v>
      </c>
      <c r="X13" s="858"/>
      <c r="Y13" s="71"/>
      <c r="Z13" s="31"/>
    </row>
    <row r="14" spans="2:26" ht="12.75">
      <c r="B14" s="70"/>
      <c r="C14" s="29"/>
      <c r="D14" s="449" t="s">
        <v>1414</v>
      </c>
      <c r="E14" s="462" t="s">
        <v>1056</v>
      </c>
      <c r="F14" s="968">
        <v>590.37</v>
      </c>
      <c r="G14" s="969"/>
      <c r="H14" s="969">
        <v>222</v>
      </c>
      <c r="I14" s="970"/>
      <c r="J14" s="29"/>
      <c r="K14" s="71"/>
      <c r="L14" s="771"/>
      <c r="M14" s="189" t="s">
        <v>63</v>
      </c>
      <c r="N14" s="65">
        <f>TAB03_PD05</f>
        <v>732.27</v>
      </c>
      <c r="P14" s="70"/>
      <c r="Q14" s="29"/>
      <c r="R14" s="449" t="s">
        <v>1414</v>
      </c>
      <c r="S14" s="462" t="s">
        <v>1056</v>
      </c>
      <c r="T14" s="856">
        <f>VLOOKUP("TV POLICIA CIVIL 08 40H",RHE,10,FALSE)</f>
        <v>802.97</v>
      </c>
      <c r="U14" s="856">
        <f>VLOOKUP("TV POLICIA CIVIL 08 40H",RHE,18,FALSE)</f>
        <v>3003.59</v>
      </c>
      <c r="V14" s="857"/>
      <c r="W14" s="857">
        <f>VLOOKUP("TV POLICIA CIVIL 04 40H",RHE,12,FALSE)</f>
        <v>222</v>
      </c>
      <c r="X14" s="858"/>
      <c r="Y14" s="71"/>
      <c r="Z14" s="31"/>
    </row>
    <row r="15" spans="2:26" ht="12.75">
      <c r="B15" s="70"/>
      <c r="C15" s="29"/>
      <c r="D15" s="449" t="s">
        <v>1415</v>
      </c>
      <c r="E15" s="462" t="s">
        <v>1057</v>
      </c>
      <c r="F15" s="968">
        <v>651.63</v>
      </c>
      <c r="G15" s="969"/>
      <c r="H15" s="969">
        <v>222</v>
      </c>
      <c r="I15" s="970"/>
      <c r="J15" s="29"/>
      <c r="K15" s="71"/>
      <c r="L15" s="771"/>
      <c r="M15" s="189" t="s">
        <v>863</v>
      </c>
      <c r="N15" s="65">
        <f>TAB03_PD06</f>
        <v>802.97</v>
      </c>
      <c r="P15" s="70"/>
      <c r="Q15" s="29"/>
      <c r="R15" s="449" t="s">
        <v>1415</v>
      </c>
      <c r="S15" s="462" t="s">
        <v>1057</v>
      </c>
      <c r="T15" s="856">
        <f>VLOOKUP("TV POLICIA CIVIL 09 40H",RHE,10,FALSE)</f>
        <v>873.73</v>
      </c>
      <c r="U15" s="856">
        <f>VLOOKUP("TV POLICIA CIVIL 09 40H",RHE,18,FALSE)</f>
        <v>4220.75</v>
      </c>
      <c r="V15" s="857"/>
      <c r="W15" s="857">
        <f>VLOOKUP("TV POLICIA CIVIL 05 40H",RHE,12,FALSE)</f>
        <v>222</v>
      </c>
      <c r="X15" s="858"/>
      <c r="Y15" s="71"/>
      <c r="Z15" s="31"/>
    </row>
    <row r="16" spans="2:26" ht="12.75">
      <c r="B16" s="70"/>
      <c r="C16" s="29"/>
      <c r="D16" s="449" t="s">
        <v>1416</v>
      </c>
      <c r="E16" s="462" t="s">
        <v>1058</v>
      </c>
      <c r="F16" s="968">
        <v>712.99</v>
      </c>
      <c r="G16" s="969"/>
      <c r="H16" s="969">
        <v>222</v>
      </c>
      <c r="I16" s="970"/>
      <c r="J16" s="29"/>
      <c r="K16" s="71"/>
      <c r="L16" s="771"/>
      <c r="M16" s="189" t="s">
        <v>865</v>
      </c>
      <c r="N16" s="65">
        <f>TAB03_PD07</f>
        <v>873.73</v>
      </c>
      <c r="P16" s="70"/>
      <c r="Q16" s="29"/>
      <c r="R16" s="449" t="s">
        <v>1416</v>
      </c>
      <c r="S16" s="462" t="s">
        <v>1058</v>
      </c>
      <c r="T16" s="856">
        <f>VLOOKUP("TV POLICIA CIVIL 10 40H",RHE,10,FALSE)</f>
        <v>943.74</v>
      </c>
      <c r="U16" s="856">
        <f>VLOOKUP("TV POLICIA CIVIL 10 40H",RHE,18,FALSE)</f>
        <v>5714.22</v>
      </c>
      <c r="V16" s="857"/>
      <c r="W16" s="857">
        <f>VLOOKUP("TV POLICIA CIVIL 06 40H",RHE,12,FALSE)</f>
        <v>222</v>
      </c>
      <c r="X16" s="858"/>
      <c r="Y16" s="71"/>
      <c r="Z16" s="31"/>
    </row>
    <row r="17" spans="2:26" ht="12.75">
      <c r="B17" s="70"/>
      <c r="C17" s="29"/>
      <c r="D17" s="449" t="s">
        <v>1417</v>
      </c>
      <c r="E17" s="462" t="s">
        <v>1063</v>
      </c>
      <c r="F17" s="968">
        <v>774.26</v>
      </c>
      <c r="G17" s="969"/>
      <c r="H17" s="969">
        <v>222</v>
      </c>
      <c r="I17" s="970"/>
      <c r="J17" s="29"/>
      <c r="K17" s="71"/>
      <c r="L17" s="771"/>
      <c r="M17" s="189" t="s">
        <v>867</v>
      </c>
      <c r="N17" s="65">
        <f>TAB03_PD08</f>
        <v>943.74</v>
      </c>
      <c r="P17" s="70"/>
      <c r="Q17" s="29"/>
      <c r="R17" s="449" t="s">
        <v>1417</v>
      </c>
      <c r="S17" s="462" t="s">
        <v>1063</v>
      </c>
      <c r="T17" s="856">
        <f>VLOOKUP("TV POLICIA CIVIL 11 40H",RHE,10,FALSE)</f>
        <v>1014.28</v>
      </c>
      <c r="U17" s="856">
        <f>VLOOKUP("TV POLICIA CIVIL 11 40H",RHE,18,FALSE)</f>
        <v>6797.2</v>
      </c>
      <c r="V17" s="857"/>
      <c r="W17" s="857">
        <f>VLOOKUP("TV POLICIA CIVIL 07 40H",RHE,12,FALSE)</f>
        <v>222</v>
      </c>
      <c r="X17" s="858"/>
      <c r="Y17" s="71"/>
      <c r="Z17" s="31"/>
    </row>
    <row r="18" spans="2:26" ht="12.75">
      <c r="B18" s="70"/>
      <c r="C18" s="29"/>
      <c r="D18" s="452">
        <v>10</v>
      </c>
      <c r="E18" s="462" t="s">
        <v>1064</v>
      </c>
      <c r="F18" s="968">
        <v>7094.98</v>
      </c>
      <c r="G18" s="969"/>
      <c r="H18" s="969"/>
      <c r="I18" s="970"/>
      <c r="J18" s="29"/>
      <c r="K18" s="71"/>
      <c r="L18" s="771"/>
      <c r="M18" s="189" t="s">
        <v>868</v>
      </c>
      <c r="N18" s="65">
        <f>TAB03_PD09</f>
        <v>1014.28</v>
      </c>
      <c r="P18" s="70"/>
      <c r="Q18" s="29"/>
      <c r="R18" s="452">
        <v>10</v>
      </c>
      <c r="S18" s="462" t="s">
        <v>1064</v>
      </c>
      <c r="T18" s="856">
        <f>VLOOKUP("TV POLICIA CIVIL 13 40H",RHE,10,FALSE)</f>
        <v>7094.98</v>
      </c>
      <c r="U18" s="856">
        <f>VLOOKUP("TV POLICIA CIVIL 13 40H",RHE,18,FALSE)</f>
        <v>9860</v>
      </c>
      <c r="V18" s="857"/>
      <c r="W18" s="857"/>
      <c r="X18" s="858"/>
      <c r="Y18" s="71"/>
      <c r="Z18" s="31"/>
    </row>
    <row r="19" spans="2:26" ht="12.75">
      <c r="B19" s="70"/>
      <c r="C19" s="29"/>
      <c r="D19" s="452">
        <v>11</v>
      </c>
      <c r="E19" s="462" t="s">
        <v>1065</v>
      </c>
      <c r="F19" s="968">
        <v>7538.32</v>
      </c>
      <c r="G19" s="969"/>
      <c r="H19" s="969"/>
      <c r="I19" s="970"/>
      <c r="J19" s="29"/>
      <c r="K19" s="71"/>
      <c r="L19" s="771"/>
      <c r="M19" s="189" t="s">
        <v>869</v>
      </c>
      <c r="N19" s="65">
        <f>TAB03_PD10</f>
        <v>7094.98</v>
      </c>
      <c r="P19" s="70"/>
      <c r="Q19" s="29"/>
      <c r="R19" s="452">
        <v>11</v>
      </c>
      <c r="S19" s="462" t="s">
        <v>1065</v>
      </c>
      <c r="T19" s="856">
        <f>VLOOKUP("TV POLICIA CIVIL 14 40H",RHE,10,FALSE)</f>
        <v>7538.32</v>
      </c>
      <c r="U19" s="856">
        <f>VLOOKUP("TV POLICIA CIVIL 14 40H",RHE,18,FALSE)</f>
        <v>12091</v>
      </c>
      <c r="V19" s="857"/>
      <c r="W19" s="857"/>
      <c r="X19" s="858"/>
      <c r="Y19" s="71"/>
      <c r="Z19" s="31"/>
    </row>
    <row r="20" spans="2:26" ht="12.75">
      <c r="B20" s="70"/>
      <c r="C20" s="29"/>
      <c r="D20" s="452">
        <v>12</v>
      </c>
      <c r="E20" s="462" t="s">
        <v>1066</v>
      </c>
      <c r="F20" s="968">
        <v>7981.78</v>
      </c>
      <c r="G20" s="969"/>
      <c r="H20" s="969"/>
      <c r="I20" s="970"/>
      <c r="J20" s="29"/>
      <c r="K20" s="71"/>
      <c r="L20" s="771"/>
      <c r="M20" s="189" t="s">
        <v>708</v>
      </c>
      <c r="N20" s="65">
        <f>TAB03_PD11</f>
        <v>7538.32</v>
      </c>
      <c r="P20" s="70"/>
      <c r="Q20" s="29"/>
      <c r="R20" s="452">
        <v>12</v>
      </c>
      <c r="S20" s="462" t="s">
        <v>1066</v>
      </c>
      <c r="T20" s="856">
        <f>VLOOKUP("TV POLICIA CIVIL 15 40H",RHE,10,FALSE)</f>
        <v>7981.78</v>
      </c>
      <c r="U20" s="856">
        <f>VLOOKUP("TV POLICIA CIVIL 15 40H",RHE,18,FALSE)</f>
        <v>14410</v>
      </c>
      <c r="V20" s="857"/>
      <c r="W20" s="857"/>
      <c r="X20" s="858"/>
      <c r="Y20" s="71"/>
      <c r="Z20" s="31"/>
    </row>
    <row r="21" spans="2:26" ht="12.75">
      <c r="B21" s="70"/>
      <c r="C21" s="29"/>
      <c r="D21" s="452">
        <v>13</v>
      </c>
      <c r="E21" s="462" t="s">
        <v>1067</v>
      </c>
      <c r="F21" s="968">
        <v>8425.12</v>
      </c>
      <c r="G21" s="969"/>
      <c r="H21" s="969"/>
      <c r="I21" s="970"/>
      <c r="J21" s="29"/>
      <c r="K21" s="71"/>
      <c r="L21" s="771"/>
      <c r="M21" s="189" t="s">
        <v>709</v>
      </c>
      <c r="N21" s="65">
        <f>TAB03_PD12</f>
        <v>7981.78</v>
      </c>
      <c r="P21" s="70"/>
      <c r="Q21" s="29"/>
      <c r="R21" s="452">
        <v>13</v>
      </c>
      <c r="S21" s="462" t="s">
        <v>1067</v>
      </c>
      <c r="T21" s="856">
        <f>VLOOKUP("TV POLICIA CIVIL 16 40H",RHE,10,FALSE)</f>
        <v>8425.12</v>
      </c>
      <c r="U21" s="856">
        <f>VLOOKUP("TV POLICIA CIVIL 16 40H",RHE,18,FALSE)</f>
        <v>16416</v>
      </c>
      <c r="V21" s="857"/>
      <c r="W21" s="857"/>
      <c r="X21" s="858"/>
      <c r="Y21" s="71"/>
      <c r="Z21" s="31"/>
    </row>
    <row r="22" spans="2:26" ht="12.75">
      <c r="B22" s="70"/>
      <c r="C22" s="29"/>
      <c r="D22" s="452">
        <v>14</v>
      </c>
      <c r="E22" s="462" t="s">
        <v>1068</v>
      </c>
      <c r="F22" s="968">
        <v>590.37</v>
      </c>
      <c r="G22" s="969"/>
      <c r="H22" s="969">
        <v>222</v>
      </c>
      <c r="I22" s="970"/>
      <c r="J22" s="29"/>
      <c r="K22" s="71"/>
      <c r="L22" s="771"/>
      <c r="M22" s="189" t="s">
        <v>84</v>
      </c>
      <c r="N22" s="65">
        <f>TAB03_PD13</f>
        <v>8425.12</v>
      </c>
      <c r="P22" s="70"/>
      <c r="Q22" s="29"/>
      <c r="R22" s="452">
        <v>14</v>
      </c>
      <c r="S22" s="462" t="s">
        <v>1068</v>
      </c>
      <c r="T22" s="856">
        <f>VLOOKUP("TV POLICIA CIVIL 04 40H",RHE,10,FALSE)</f>
        <v>802.97</v>
      </c>
      <c r="U22" s="856">
        <f>VLOOKUP("TV POLICIA CIVIL 04 40H",RHE,18,FALSE)</f>
        <v>4376.39</v>
      </c>
      <c r="V22" s="857"/>
      <c r="W22" s="857">
        <f>VLOOKUP("TV POLICIA CIVIL 08 40H",RHE,12,FALSE)</f>
        <v>222</v>
      </c>
      <c r="X22" s="858"/>
      <c r="Y22" s="71"/>
      <c r="Z22" s="31"/>
    </row>
    <row r="23" spans="2:26" ht="12.75">
      <c r="B23" s="70"/>
      <c r="C23" s="29"/>
      <c r="D23" s="452">
        <v>15</v>
      </c>
      <c r="E23" s="462" t="s">
        <v>253</v>
      </c>
      <c r="F23" s="968">
        <v>895.93</v>
      </c>
      <c r="G23" s="969"/>
      <c r="H23" s="969"/>
      <c r="I23" s="970">
        <v>222</v>
      </c>
      <c r="J23" s="29"/>
      <c r="K23" s="71"/>
      <c r="L23" s="771"/>
      <c r="M23" s="189" t="s">
        <v>85</v>
      </c>
      <c r="N23" s="65">
        <f>TAB03_PD14</f>
        <v>802.97</v>
      </c>
      <c r="P23" s="70"/>
      <c r="Q23" s="29"/>
      <c r="R23" s="452">
        <v>15</v>
      </c>
      <c r="S23" s="462" t="s">
        <v>253</v>
      </c>
      <c r="T23" s="856">
        <f>VLOOKUP("TV POLICIA CIVIL 12 40H",RHE,10,FALSE)</f>
        <v>1488.74</v>
      </c>
      <c r="U23" s="856">
        <f>VLOOKUP("TV POLICIA CIVIL 12 40H",RHE,18,FALSE)</f>
        <v>8888.44</v>
      </c>
      <c r="V23" s="857"/>
      <c r="W23" s="857"/>
      <c r="X23" s="858">
        <f>VLOOKUP("TV POLICIA CIVIL 12 40H",RHE,14,FALSE)</f>
        <v>222</v>
      </c>
      <c r="Y23" s="71"/>
      <c r="Z23" s="31"/>
    </row>
    <row r="24" spans="2:26" ht="12.75">
      <c r="B24" s="70"/>
      <c r="C24" s="29"/>
      <c r="D24" s="452">
        <v>16</v>
      </c>
      <c r="E24" s="462" t="s">
        <v>1069</v>
      </c>
      <c r="F24" s="968">
        <v>326.49</v>
      </c>
      <c r="G24" s="969">
        <v>222</v>
      </c>
      <c r="H24" s="969"/>
      <c r="I24" s="970"/>
      <c r="J24" s="29"/>
      <c r="K24" s="71"/>
      <c r="L24" s="771"/>
      <c r="M24" s="189" t="s">
        <v>715</v>
      </c>
      <c r="N24" s="65">
        <f>TAB03_PD15</f>
        <v>1488.74</v>
      </c>
      <c r="P24" s="70"/>
      <c r="Q24" s="29"/>
      <c r="R24" s="452">
        <v>16</v>
      </c>
      <c r="S24" s="462" t="s">
        <v>1069</v>
      </c>
      <c r="T24" s="856">
        <f>VLOOKUP("TV BRIGADA MILITAR 02 40H",RHE,10,FALSE)</f>
        <v>579.1</v>
      </c>
      <c r="U24" s="856"/>
      <c r="V24" s="857">
        <f>VLOOKUP("TV BRIGADA MILITAR 02 40H",RHE,12,FALSE)</f>
        <v>222</v>
      </c>
      <c r="W24" s="857"/>
      <c r="X24" s="858"/>
      <c r="Y24" s="71"/>
      <c r="Z24" s="31"/>
    </row>
    <row r="25" spans="2:26" ht="12.75">
      <c r="B25" s="70"/>
      <c r="C25" s="29"/>
      <c r="D25" s="452">
        <v>17</v>
      </c>
      <c r="E25" s="462" t="s">
        <v>1070</v>
      </c>
      <c r="F25" s="968">
        <v>283.25</v>
      </c>
      <c r="G25" s="969">
        <v>222</v>
      </c>
      <c r="H25" s="969"/>
      <c r="I25" s="970"/>
      <c r="J25" s="29"/>
      <c r="K25" s="71"/>
      <c r="L25" s="771"/>
      <c r="M25" s="189" t="s">
        <v>716</v>
      </c>
      <c r="N25" s="65">
        <f>TAB03_PD16</f>
        <v>579.1</v>
      </c>
      <c r="P25" s="70"/>
      <c r="Q25" s="29"/>
      <c r="R25" s="452">
        <v>17</v>
      </c>
      <c r="S25" s="462" t="s">
        <v>1070</v>
      </c>
      <c r="T25" s="856">
        <f>VLOOKUP("TV BRIGADA MILITAR 01 40H",RHE,10,FALSE)</f>
        <v>494.41</v>
      </c>
      <c r="U25" s="856"/>
      <c r="V25" s="857">
        <f>VLOOKUP("TV BRIGADA MILITAR 01 40H",RHE,12,FALSE)</f>
        <v>222</v>
      </c>
      <c r="W25" s="857"/>
      <c r="X25" s="858"/>
      <c r="Y25" s="71"/>
      <c r="Z25" s="31"/>
    </row>
    <row r="26" spans="2:26" ht="12.75">
      <c r="B26" s="70"/>
      <c r="C26" s="29"/>
      <c r="D26" s="452">
        <v>18</v>
      </c>
      <c r="E26" s="462" t="s">
        <v>254</v>
      </c>
      <c r="F26" s="968">
        <v>421.49</v>
      </c>
      <c r="G26" s="969">
        <v>222</v>
      </c>
      <c r="H26" s="969"/>
      <c r="I26" s="970"/>
      <c r="J26" s="29"/>
      <c r="K26" s="71"/>
      <c r="L26" s="771"/>
      <c r="M26" s="189" t="s">
        <v>717</v>
      </c>
      <c r="N26" s="65">
        <f>TAB03_PD17</f>
        <v>494.41</v>
      </c>
      <c r="P26" s="70"/>
      <c r="Q26" s="29"/>
      <c r="R26" s="452">
        <v>18</v>
      </c>
      <c r="S26" s="462" t="s">
        <v>254</v>
      </c>
      <c r="T26" s="856">
        <f>VLOOKUP("TV BRIGADA MILITAR 04 40H",RHE,10,FALSE)</f>
        <v>689.41</v>
      </c>
      <c r="U26" s="856"/>
      <c r="V26" s="857">
        <f>VLOOKUP("TV BRIGADA MILITAR 04 40H",RHE,12,FALSE)</f>
        <v>222</v>
      </c>
      <c r="W26" s="857"/>
      <c r="X26" s="858"/>
      <c r="Y26" s="71"/>
      <c r="Z26" s="31"/>
    </row>
    <row r="27" spans="2:26" ht="12.75">
      <c r="B27" s="70"/>
      <c r="C27" s="29"/>
      <c r="D27" s="452">
        <v>19</v>
      </c>
      <c r="E27" s="462" t="s">
        <v>385</v>
      </c>
      <c r="F27" s="968">
        <v>355.11</v>
      </c>
      <c r="G27" s="969">
        <v>222</v>
      </c>
      <c r="H27" s="969"/>
      <c r="I27" s="970"/>
      <c r="J27" s="29"/>
      <c r="K27" s="71"/>
      <c r="L27" s="771"/>
      <c r="M27" s="189" t="s">
        <v>718</v>
      </c>
      <c r="N27" s="65">
        <f>TAB03_PD18</f>
        <v>689.41</v>
      </c>
      <c r="P27" s="70"/>
      <c r="Q27" s="29"/>
      <c r="R27" s="452">
        <v>19</v>
      </c>
      <c r="S27" s="462" t="s">
        <v>385</v>
      </c>
      <c r="T27" s="856">
        <f>VLOOKUP("TV BRIGADA MILITAR 03 40H",RHE,10,FALSE)</f>
        <v>606.68</v>
      </c>
      <c r="U27" s="856"/>
      <c r="V27" s="857">
        <f>VLOOKUP("TV BRIGADA MILITAR 03 40H",RHE,12,FALSE)</f>
        <v>222</v>
      </c>
      <c r="W27" s="857"/>
      <c r="X27" s="858"/>
      <c r="Y27" s="71"/>
      <c r="Z27" s="31"/>
    </row>
    <row r="28" spans="2:26" ht="12.75">
      <c r="B28" s="70"/>
      <c r="C28" s="29"/>
      <c r="D28" s="452">
        <v>20</v>
      </c>
      <c r="E28" s="462" t="s">
        <v>255</v>
      </c>
      <c r="F28" s="968">
        <v>482.62</v>
      </c>
      <c r="G28" s="969">
        <v>222</v>
      </c>
      <c r="H28" s="969"/>
      <c r="I28" s="970"/>
      <c r="J28" s="29"/>
      <c r="K28" s="71"/>
      <c r="L28" s="771"/>
      <c r="M28" s="189" t="s">
        <v>719</v>
      </c>
      <c r="N28" s="65">
        <f>TAB03_PD19</f>
        <v>606.68</v>
      </c>
      <c r="P28" s="70"/>
      <c r="Q28" s="29"/>
      <c r="R28" s="452">
        <v>20</v>
      </c>
      <c r="S28" s="462" t="s">
        <v>255</v>
      </c>
      <c r="T28" s="856">
        <f>VLOOKUP("TV BRIGADA MILITAR 05 40H",RHE,10,FALSE)</f>
        <v>772.14</v>
      </c>
      <c r="U28" s="856"/>
      <c r="V28" s="857">
        <f>VLOOKUP("TV BRIGADA MILITAR 05 40H",RHE,12,FALSE)</f>
        <v>222</v>
      </c>
      <c r="W28" s="857"/>
      <c r="X28" s="858"/>
      <c r="Y28" s="71"/>
      <c r="Z28" s="31"/>
    </row>
    <row r="29" spans="2:26" ht="12.75">
      <c r="B29" s="70"/>
      <c r="C29" s="29"/>
      <c r="D29" s="452">
        <v>21</v>
      </c>
      <c r="E29" s="462" t="s">
        <v>256</v>
      </c>
      <c r="F29" s="968">
        <v>544.01</v>
      </c>
      <c r="G29" s="969">
        <v>222</v>
      </c>
      <c r="H29" s="969"/>
      <c r="I29" s="970"/>
      <c r="J29" s="29"/>
      <c r="K29" s="71" t="s">
        <v>1079</v>
      </c>
      <c r="L29" s="771"/>
      <c r="M29" s="189" t="s">
        <v>720</v>
      </c>
      <c r="N29" s="65">
        <f>TAB03_PD20</f>
        <v>772.14</v>
      </c>
      <c r="P29" s="70"/>
      <c r="Q29" s="29"/>
      <c r="R29" s="452">
        <v>21</v>
      </c>
      <c r="S29" s="462" t="s">
        <v>256</v>
      </c>
      <c r="T29" s="856">
        <f>VLOOKUP("TV BRIGADA MILITAR 06 40H",RHE,10,FALSE)</f>
        <v>827.29</v>
      </c>
      <c r="U29" s="856"/>
      <c r="V29" s="857">
        <f>VLOOKUP("TV BRIGADA MILITAR 06 40H",RHE,12,FALSE)</f>
        <v>222</v>
      </c>
      <c r="W29" s="857"/>
      <c r="X29" s="858"/>
      <c r="Y29" s="71" t="s">
        <v>1079</v>
      </c>
      <c r="Z29" s="31"/>
    </row>
    <row r="30" spans="2:26" ht="12.75">
      <c r="B30" s="70"/>
      <c r="C30" s="29"/>
      <c r="D30" s="452">
        <v>22</v>
      </c>
      <c r="E30" s="462" t="s">
        <v>257</v>
      </c>
      <c r="F30" s="968">
        <v>605.27</v>
      </c>
      <c r="G30" s="969">
        <v>222</v>
      </c>
      <c r="H30" s="969"/>
      <c r="I30" s="970"/>
      <c r="J30" s="29"/>
      <c r="K30" s="71"/>
      <c r="L30" s="771"/>
      <c r="M30" s="189" t="s">
        <v>870</v>
      </c>
      <c r="N30" s="65">
        <f>TAB03_PD21</f>
        <v>827.29</v>
      </c>
      <c r="P30" s="70"/>
      <c r="Q30" s="29"/>
      <c r="R30" s="452">
        <v>22</v>
      </c>
      <c r="S30" s="462" t="s">
        <v>257</v>
      </c>
      <c r="T30" s="856">
        <f>VLOOKUP("TV BRIGADA MILITAR 07 40H",RHE,10,FALSE)</f>
        <v>934.22</v>
      </c>
      <c r="U30" s="856"/>
      <c r="V30" s="857">
        <f>VLOOKUP("TV BRIGADA MILITAR 07 40H",RHE,12,FALSE)</f>
        <v>222</v>
      </c>
      <c r="W30" s="857"/>
      <c r="X30" s="858"/>
      <c r="Y30" s="71"/>
      <c r="Z30" s="31"/>
    </row>
    <row r="31" spans="2:26" ht="12.75">
      <c r="B31" s="70"/>
      <c r="C31" s="29"/>
      <c r="D31" s="452">
        <v>23</v>
      </c>
      <c r="E31" s="462" t="s">
        <v>258</v>
      </c>
      <c r="F31" s="968">
        <v>713</v>
      </c>
      <c r="G31" s="969">
        <v>222</v>
      </c>
      <c r="H31" s="969"/>
      <c r="I31" s="970"/>
      <c r="J31" s="29"/>
      <c r="K31" s="71"/>
      <c r="L31" s="771"/>
      <c r="M31" s="189" t="s">
        <v>871</v>
      </c>
      <c r="N31" s="65">
        <f>TAB03_PD22</f>
        <v>934.22</v>
      </c>
      <c r="P31" s="70"/>
      <c r="Q31" s="29"/>
      <c r="R31" s="452">
        <v>23</v>
      </c>
      <c r="S31" s="462" t="s">
        <v>258</v>
      </c>
      <c r="T31" s="856">
        <f>VLOOKUP("TV BRIGADA MILITAR 09 40H",RHE,10,FALSE)</f>
        <v>1051.79</v>
      </c>
      <c r="U31" s="856"/>
      <c r="V31" s="857">
        <f>VLOOKUP("TV BRIGADA MILITAR 09 40H",RHE,12,FALSE)</f>
        <v>222</v>
      </c>
      <c r="W31" s="857"/>
      <c r="X31" s="858"/>
      <c r="Y31" s="71"/>
      <c r="Z31" s="31"/>
    </row>
    <row r="32" spans="2:26" ht="12.75">
      <c r="B32" s="70"/>
      <c r="C32" s="29"/>
      <c r="D32" s="452">
        <v>24</v>
      </c>
      <c r="E32" s="462" t="s">
        <v>259</v>
      </c>
      <c r="F32" s="968">
        <v>774.26</v>
      </c>
      <c r="G32" s="969">
        <v>222</v>
      </c>
      <c r="H32" s="969"/>
      <c r="I32" s="970"/>
      <c r="J32" s="29"/>
      <c r="K32" s="71"/>
      <c r="L32" s="771"/>
      <c r="M32" s="189" t="s">
        <v>879</v>
      </c>
      <c r="N32" s="65">
        <f>TAB03_PD23</f>
        <v>1051.79</v>
      </c>
      <c r="P32" s="70"/>
      <c r="Q32" s="29"/>
      <c r="R32" s="452">
        <v>24</v>
      </c>
      <c r="S32" s="462" t="s">
        <v>259</v>
      </c>
      <c r="T32" s="856">
        <f>VLOOKUP("TV BRIGADA MILITAR 10 40H",RHE,10,FALSE)</f>
        <v>1130.63</v>
      </c>
      <c r="U32" s="856"/>
      <c r="V32" s="857">
        <f>VLOOKUP("TV BRIGADA MILITAR 10 40H",RHE,12,FALSE)</f>
        <v>222</v>
      </c>
      <c r="W32" s="857"/>
      <c r="X32" s="858"/>
      <c r="Y32" s="71"/>
      <c r="Z32" s="31"/>
    </row>
    <row r="33" spans="2:26" ht="12.75">
      <c r="B33" s="70"/>
      <c r="C33" s="29"/>
      <c r="D33" s="452">
        <v>25</v>
      </c>
      <c r="E33" s="462" t="s">
        <v>260</v>
      </c>
      <c r="F33" s="968">
        <v>1237.2</v>
      </c>
      <c r="G33" s="969"/>
      <c r="H33" s="969"/>
      <c r="I33" s="970">
        <v>222</v>
      </c>
      <c r="J33" s="29"/>
      <c r="K33" s="71"/>
      <c r="L33" s="771"/>
      <c r="M33" s="189" t="s">
        <v>880</v>
      </c>
      <c r="N33" s="65">
        <f>TAB03_PD24</f>
        <v>1130.63</v>
      </c>
      <c r="P33" s="70"/>
      <c r="Q33" s="29"/>
      <c r="R33" s="452">
        <v>25</v>
      </c>
      <c r="S33" s="462" t="s">
        <v>260</v>
      </c>
      <c r="T33" s="856">
        <f>VLOOKUP("TV BRIGADA MILITAR 11 40H",RHE,10,FALSE)</f>
        <v>7212.41</v>
      </c>
      <c r="U33" s="856"/>
      <c r="V33" s="857"/>
      <c r="W33" s="857"/>
      <c r="X33" s="858">
        <f>VLOOKUP("TV BRIGADA MILITAR 11 40H",RHE,14,FALSE)</f>
        <v>0</v>
      </c>
      <c r="Y33" s="71"/>
      <c r="Z33" s="31"/>
    </row>
    <row r="34" spans="2:26" ht="12.75">
      <c r="B34" s="70"/>
      <c r="C34" s="29"/>
      <c r="D34" s="452">
        <v>26</v>
      </c>
      <c r="E34" s="462" t="s">
        <v>261</v>
      </c>
      <c r="F34" s="968">
        <v>1610.35</v>
      </c>
      <c r="G34" s="969"/>
      <c r="H34" s="969"/>
      <c r="I34" s="970">
        <v>222</v>
      </c>
      <c r="J34" s="29"/>
      <c r="K34" s="71"/>
      <c r="L34" s="771"/>
      <c r="M34" s="189" t="s">
        <v>804</v>
      </c>
      <c r="N34" s="65">
        <f>TAB03_PD25</f>
        <v>7212.41</v>
      </c>
      <c r="P34" s="70"/>
      <c r="Q34" s="29"/>
      <c r="R34" s="452">
        <v>26</v>
      </c>
      <c r="S34" s="462" t="s">
        <v>261</v>
      </c>
      <c r="T34" s="856">
        <f>VLOOKUP("TV BRIGADA MILITAR 12 40H",RHE,10,FALSE)</f>
        <v>8013.8</v>
      </c>
      <c r="U34" s="856"/>
      <c r="V34" s="857"/>
      <c r="W34" s="857"/>
      <c r="X34" s="858">
        <f>VLOOKUP("TV BRIGADA MILITAR 12 40H",RHE,14,FALSE)</f>
        <v>0</v>
      </c>
      <c r="Y34" s="71"/>
      <c r="Z34" s="31"/>
    </row>
    <row r="35" spans="2:26" ht="12.75">
      <c r="B35" s="70"/>
      <c r="C35" s="29"/>
      <c r="D35" s="452">
        <v>27</v>
      </c>
      <c r="E35" s="462" t="s">
        <v>262</v>
      </c>
      <c r="F35" s="968">
        <v>1652.66</v>
      </c>
      <c r="G35" s="969"/>
      <c r="H35" s="969"/>
      <c r="I35" s="970">
        <v>222</v>
      </c>
      <c r="J35" s="29"/>
      <c r="K35" s="71"/>
      <c r="L35" s="771"/>
      <c r="M35" s="189" t="s">
        <v>805</v>
      </c>
      <c r="N35" s="65">
        <f>TAB03_PD26</f>
        <v>8013.8</v>
      </c>
      <c r="P35" s="70"/>
      <c r="Q35" s="29"/>
      <c r="R35" s="452">
        <v>27</v>
      </c>
      <c r="S35" s="462" t="s">
        <v>262</v>
      </c>
      <c r="T35" s="856">
        <f>VLOOKUP("TV BRIGADA MILITAR 13 40H",RHE,10,FALSE)</f>
        <v>8435.58</v>
      </c>
      <c r="U35" s="856"/>
      <c r="V35" s="857"/>
      <c r="W35" s="857"/>
      <c r="X35" s="858">
        <f>VLOOKUP("TV BRIGADA MILITAR 13 40H",RHE,14,FALSE)</f>
        <v>0</v>
      </c>
      <c r="Y35" s="71"/>
      <c r="Z35" s="31"/>
    </row>
    <row r="36" spans="2:26" ht="12.75">
      <c r="B36" s="70"/>
      <c r="C36" s="29"/>
      <c r="D36" s="452">
        <v>28</v>
      </c>
      <c r="E36" s="462" t="s">
        <v>263</v>
      </c>
      <c r="F36" s="968">
        <v>1732.4</v>
      </c>
      <c r="G36" s="969"/>
      <c r="H36" s="969"/>
      <c r="I36" s="970">
        <v>222</v>
      </c>
      <c r="J36" s="29"/>
      <c r="K36" s="71"/>
      <c r="L36" s="771"/>
      <c r="M36" s="189" t="s">
        <v>806</v>
      </c>
      <c r="N36" s="65">
        <f>TAB03_PD27</f>
        <v>8435.58</v>
      </c>
      <c r="P36" s="70"/>
      <c r="Q36" s="29"/>
      <c r="R36" s="452">
        <v>28</v>
      </c>
      <c r="S36" s="462" t="s">
        <v>263</v>
      </c>
      <c r="T36" s="856">
        <f>VLOOKUP("TV BRIGADA MILITAR 14 40H",RHE,10,FALSE)</f>
        <v>8879.56</v>
      </c>
      <c r="U36" s="856"/>
      <c r="V36" s="857"/>
      <c r="W36" s="857"/>
      <c r="X36" s="858">
        <f>VLOOKUP("TV BRIGADA MILITAR 14 40H",RHE,14,FALSE)</f>
        <v>0</v>
      </c>
      <c r="Y36" s="71"/>
      <c r="Z36" s="31"/>
    </row>
    <row r="37" spans="2:26" ht="12.75">
      <c r="B37" s="70"/>
      <c r="C37" s="29"/>
      <c r="D37" s="452">
        <v>40</v>
      </c>
      <c r="E37" s="462" t="s">
        <v>264</v>
      </c>
      <c r="F37" s="968">
        <v>519.2</v>
      </c>
      <c r="G37" s="969"/>
      <c r="H37" s="969"/>
      <c r="I37" s="970"/>
      <c r="J37" s="29"/>
      <c r="K37" s="71"/>
      <c r="L37" s="771"/>
      <c r="M37" s="189" t="s">
        <v>807</v>
      </c>
      <c r="N37" s="65">
        <f>TAB03_PD28</f>
        <v>8879.56</v>
      </c>
      <c r="P37" s="70"/>
      <c r="Q37" s="29"/>
      <c r="R37" s="452">
        <v>40</v>
      </c>
      <c r="S37" s="462" t="s">
        <v>264</v>
      </c>
      <c r="T37" s="856">
        <f>VLOOKUP("TV BRIGADA MILITAR 19 40H",RHE,10,FALSE)</f>
        <v>1137.6</v>
      </c>
      <c r="U37" s="856"/>
      <c r="V37" s="857"/>
      <c r="W37" s="857"/>
      <c r="X37" s="858"/>
      <c r="Y37" s="71"/>
      <c r="Z37" s="31"/>
    </row>
    <row r="38" spans="2:26" ht="12.75">
      <c r="B38" s="70"/>
      <c r="C38" s="29"/>
      <c r="D38" s="452">
        <v>41</v>
      </c>
      <c r="E38" s="462" t="s">
        <v>265</v>
      </c>
      <c r="F38" s="968">
        <v>519.2</v>
      </c>
      <c r="G38" s="969"/>
      <c r="H38" s="969"/>
      <c r="I38" s="970"/>
      <c r="J38" s="29"/>
      <c r="K38" s="71"/>
      <c r="L38" s="771"/>
      <c r="M38" s="189" t="s">
        <v>271</v>
      </c>
      <c r="N38" s="65">
        <f>TAB03_PD40</f>
        <v>1137.6</v>
      </c>
      <c r="P38" s="70"/>
      <c r="Q38" s="29"/>
      <c r="R38" s="452">
        <v>41</v>
      </c>
      <c r="S38" s="462" t="s">
        <v>265</v>
      </c>
      <c r="T38" s="856">
        <f>TAB03_PD40</f>
        <v>1137.6</v>
      </c>
      <c r="U38" s="856"/>
      <c r="V38" s="857"/>
      <c r="W38" s="857"/>
      <c r="X38" s="858"/>
      <c r="Y38" s="71"/>
      <c r="Z38" s="31"/>
    </row>
    <row r="39" spans="2:26" ht="12.75">
      <c r="B39" s="70"/>
      <c r="C39" s="29"/>
      <c r="D39" s="452">
        <v>44</v>
      </c>
      <c r="E39" s="462" t="s">
        <v>577</v>
      </c>
      <c r="F39" s="968">
        <v>389.4</v>
      </c>
      <c r="G39" s="969"/>
      <c r="H39" s="969"/>
      <c r="I39" s="970"/>
      <c r="J39" s="29"/>
      <c r="K39" s="71"/>
      <c r="L39" s="771"/>
      <c r="M39" s="189" t="s">
        <v>272</v>
      </c>
      <c r="N39" s="65">
        <f>TAB03_PD41</f>
        <v>1137.6</v>
      </c>
      <c r="P39" s="70"/>
      <c r="Q39" s="29"/>
      <c r="R39" s="452">
        <v>44</v>
      </c>
      <c r="S39" s="462" t="s">
        <v>577</v>
      </c>
      <c r="T39" s="856">
        <f>ROUNDDOWN(T37*0.75,2)</f>
        <v>853.2</v>
      </c>
      <c r="U39" s="856"/>
      <c r="V39" s="857"/>
      <c r="W39" s="857"/>
      <c r="X39" s="858"/>
      <c r="Y39" s="71"/>
      <c r="Z39" s="31"/>
    </row>
    <row r="40" spans="2:26" ht="12.75">
      <c r="B40" s="70"/>
      <c r="C40" s="29"/>
      <c r="D40" s="452">
        <v>45</v>
      </c>
      <c r="E40" s="462" t="s">
        <v>300</v>
      </c>
      <c r="F40" s="968">
        <v>556.06</v>
      </c>
      <c r="G40" s="969"/>
      <c r="H40" s="969"/>
      <c r="I40" s="970"/>
      <c r="J40" s="29"/>
      <c r="K40" s="71"/>
      <c r="L40" s="771"/>
      <c r="M40" s="189" t="s">
        <v>814</v>
      </c>
      <c r="N40" s="65">
        <f aca="true" t="shared" si="0" ref="N40:N48">T39</f>
        <v>853.2</v>
      </c>
      <c r="P40" s="70"/>
      <c r="Q40" s="29"/>
      <c r="R40" s="452">
        <v>45</v>
      </c>
      <c r="S40" s="462" t="s">
        <v>300</v>
      </c>
      <c r="T40" s="856">
        <f>VLOOKUP("TV BRIGADA MILITAR 15 40H",RHE,10,FALSE)</f>
        <v>761.28</v>
      </c>
      <c r="U40" s="856"/>
      <c r="V40" s="857"/>
      <c r="W40" s="857"/>
      <c r="X40" s="858"/>
      <c r="Y40" s="71"/>
      <c r="Z40" s="31"/>
    </row>
    <row r="41" spans="2:26" ht="12.75">
      <c r="B41" s="70"/>
      <c r="C41" s="29"/>
      <c r="D41" s="452">
        <v>46</v>
      </c>
      <c r="E41" s="462" t="s">
        <v>301</v>
      </c>
      <c r="F41" s="968">
        <v>788.47</v>
      </c>
      <c r="G41" s="969"/>
      <c r="H41" s="969"/>
      <c r="I41" s="970"/>
      <c r="J41" s="29"/>
      <c r="K41" s="71"/>
      <c r="L41" s="771"/>
      <c r="M41" s="189" t="s">
        <v>815</v>
      </c>
      <c r="N41" s="65">
        <f t="shared" si="0"/>
        <v>761.28</v>
      </c>
      <c r="P41" s="70"/>
      <c r="Q41" s="29"/>
      <c r="R41" s="452">
        <v>46</v>
      </c>
      <c r="S41" s="462" t="s">
        <v>301</v>
      </c>
      <c r="T41" s="856">
        <f>TAB03_PD16*3.22*0.75</f>
        <v>1398.5265000000002</v>
      </c>
      <c r="U41" s="856"/>
      <c r="V41" s="857"/>
      <c r="W41" s="857"/>
      <c r="X41" s="858"/>
      <c r="Y41" s="71"/>
      <c r="Z41" s="31"/>
    </row>
    <row r="42" spans="2:26" ht="12.75">
      <c r="B42" s="70"/>
      <c r="C42" s="29"/>
      <c r="D42" s="452">
        <v>47</v>
      </c>
      <c r="E42" s="462" t="s">
        <v>302</v>
      </c>
      <c r="F42" s="968">
        <v>841.04</v>
      </c>
      <c r="G42" s="971"/>
      <c r="H42" s="969"/>
      <c r="I42" s="970"/>
      <c r="J42" s="29"/>
      <c r="K42" s="71"/>
      <c r="L42" s="771"/>
      <c r="M42" s="189" t="s">
        <v>816</v>
      </c>
      <c r="N42" s="65">
        <f t="shared" si="0"/>
        <v>1398.5265000000002</v>
      </c>
      <c r="P42" s="70"/>
      <c r="Q42" s="29"/>
      <c r="R42" s="452">
        <v>47</v>
      </c>
      <c r="S42" s="462" t="s">
        <v>302</v>
      </c>
      <c r="T42" s="856">
        <f>TAB03_PD16*3.22*0.8</f>
        <v>1491.7616000000003</v>
      </c>
      <c r="U42" s="869"/>
      <c r="V42" s="859"/>
      <c r="W42" s="857"/>
      <c r="X42" s="858"/>
      <c r="Y42" s="71"/>
      <c r="Z42" s="31"/>
    </row>
    <row r="43" spans="2:26" ht="12.75">
      <c r="B43" s="70"/>
      <c r="C43" s="29"/>
      <c r="D43" s="452">
        <v>48</v>
      </c>
      <c r="E43" s="462" t="s">
        <v>303</v>
      </c>
      <c r="F43" s="968">
        <v>1991.89</v>
      </c>
      <c r="G43" s="969"/>
      <c r="H43" s="969"/>
      <c r="I43" s="970"/>
      <c r="J43" s="29"/>
      <c r="K43" s="71"/>
      <c r="L43" s="771"/>
      <c r="M43" s="189" t="s">
        <v>817</v>
      </c>
      <c r="N43" s="65">
        <f t="shared" si="0"/>
        <v>1491.7616000000003</v>
      </c>
      <c r="P43" s="70"/>
      <c r="Q43" s="29"/>
      <c r="R43" s="452">
        <v>48</v>
      </c>
      <c r="S43" s="462" t="s">
        <v>303</v>
      </c>
      <c r="T43" s="856">
        <f>ROUNDDOWN(ROUNDDOWN(TAB03_PD25*3.22,2)*0.5,2)</f>
        <v>11611.98</v>
      </c>
      <c r="U43" s="856"/>
      <c r="V43" s="857"/>
      <c r="W43" s="857"/>
      <c r="X43" s="858"/>
      <c r="Y43" s="71"/>
      <c r="Z43" s="31"/>
    </row>
    <row r="44" spans="2:26" ht="12.75">
      <c r="B44" s="70"/>
      <c r="C44" s="29"/>
      <c r="D44" s="452" t="s">
        <v>206</v>
      </c>
      <c r="E44" s="462" t="s">
        <v>386</v>
      </c>
      <c r="F44" s="968">
        <v>556.06</v>
      </c>
      <c r="G44" s="969"/>
      <c r="H44" s="969"/>
      <c r="I44" s="972"/>
      <c r="J44" s="29"/>
      <c r="K44" s="71"/>
      <c r="L44" s="771"/>
      <c r="M44" s="189" t="s">
        <v>818</v>
      </c>
      <c r="N44" s="65">
        <f t="shared" si="0"/>
        <v>11611.98</v>
      </c>
      <c r="P44" s="70"/>
      <c r="Q44" s="29"/>
      <c r="R44" s="452" t="s">
        <v>206</v>
      </c>
      <c r="S44" s="462" t="s">
        <v>386</v>
      </c>
      <c r="T44" s="856">
        <f>T40</f>
        <v>761.28</v>
      </c>
      <c r="U44" s="856"/>
      <c r="V44" s="857"/>
      <c r="W44" s="857"/>
      <c r="X44" s="860"/>
      <c r="Y44" s="71"/>
      <c r="Z44" s="31"/>
    </row>
    <row r="45" spans="2:26" ht="12.75">
      <c r="B45" s="70"/>
      <c r="C45" s="29"/>
      <c r="D45" s="452">
        <v>55</v>
      </c>
      <c r="E45" s="462" t="s">
        <v>1071</v>
      </c>
      <c r="F45" s="968">
        <v>651.63</v>
      </c>
      <c r="G45" s="969"/>
      <c r="H45" s="969">
        <v>222</v>
      </c>
      <c r="I45" s="970"/>
      <c r="J45" s="29"/>
      <c r="K45" s="71"/>
      <c r="M45" s="189" t="s">
        <v>819</v>
      </c>
      <c r="N45" s="65">
        <f t="shared" si="0"/>
        <v>761.28</v>
      </c>
      <c r="P45" s="70"/>
      <c r="Q45" s="29"/>
      <c r="R45" s="452">
        <v>55</v>
      </c>
      <c r="S45" s="462" t="s">
        <v>1071</v>
      </c>
      <c r="T45" s="856">
        <f>VLOOKUP("TV POLICIA CIVIL 05 40H",RHE,10,FALSE)</f>
        <v>873.73</v>
      </c>
      <c r="U45" s="856">
        <f>VLOOKUP("TV POLICIA CIVIL 05 40H",RHE,18,FALSE)</f>
        <v>4691.34</v>
      </c>
      <c r="V45" s="857"/>
      <c r="W45" s="857">
        <f>VLOOKUP("TV POLICIA CIVIL 09 40H",RHE,12,FALSE)</f>
        <v>222</v>
      </c>
      <c r="X45" s="858"/>
      <c r="Y45" s="71"/>
      <c r="Z45" s="31"/>
    </row>
    <row r="46" spans="2:26" ht="12.75">
      <c r="B46" s="70"/>
      <c r="C46" s="29"/>
      <c r="D46" s="452">
        <v>56</v>
      </c>
      <c r="E46" s="462" t="s">
        <v>1072</v>
      </c>
      <c r="F46" s="968">
        <v>712.93</v>
      </c>
      <c r="G46" s="969"/>
      <c r="H46" s="969">
        <v>222</v>
      </c>
      <c r="I46" s="970"/>
      <c r="J46" s="29"/>
      <c r="K46" s="71"/>
      <c r="M46" s="189" t="s">
        <v>825</v>
      </c>
      <c r="N46" s="65">
        <f t="shared" si="0"/>
        <v>873.73</v>
      </c>
      <c r="P46" s="70"/>
      <c r="Q46" s="29"/>
      <c r="R46" s="452">
        <v>56</v>
      </c>
      <c r="S46" s="462" t="s">
        <v>1072</v>
      </c>
      <c r="T46" s="856">
        <f>VLOOKUP("TV POLICIA CIVIL 06 40H",RHE,10,FALSE)</f>
        <v>944.52</v>
      </c>
      <c r="U46" s="856">
        <f>VLOOKUP("TV POLICIA CIVIL 06 40H",RHE,18,FALSE)</f>
        <v>5714.22</v>
      </c>
      <c r="V46" s="857"/>
      <c r="W46" s="857">
        <f>VLOOKUP("TV POLICIA CIVIL 10 40H",RHE,12,FALSE)</f>
        <v>222</v>
      </c>
      <c r="X46" s="858"/>
      <c r="Y46" s="71"/>
      <c r="Z46" s="31"/>
    </row>
    <row r="47" spans="2:26" ht="12.75">
      <c r="B47" s="70"/>
      <c r="C47" s="29"/>
      <c r="D47" s="453">
        <v>57</v>
      </c>
      <c r="E47" s="465" t="s">
        <v>1073</v>
      </c>
      <c r="F47" s="973">
        <v>774.11</v>
      </c>
      <c r="G47" s="974"/>
      <c r="H47" s="974">
        <v>222</v>
      </c>
      <c r="I47" s="975"/>
      <c r="J47" s="29"/>
      <c r="K47" s="71"/>
      <c r="M47" s="189" t="s">
        <v>826</v>
      </c>
      <c r="N47" s="65">
        <f t="shared" si="0"/>
        <v>944.52</v>
      </c>
      <c r="P47" s="70"/>
      <c r="Q47" s="29"/>
      <c r="R47" s="453">
        <v>57</v>
      </c>
      <c r="S47" s="465" t="s">
        <v>1073</v>
      </c>
      <c r="T47" s="861">
        <f>VLOOKUP("TV POLICIA CIVIL 07 40H",RHE,10,FALSE)</f>
        <v>1015.33</v>
      </c>
      <c r="U47" s="861">
        <f>VLOOKUP("TV POLICIA CIVIL 07 40H",RHE,18,FALSE)</f>
        <v>6797.2</v>
      </c>
      <c r="V47" s="862"/>
      <c r="W47" s="862">
        <f>VLOOKUP("TV POLICIA CIVIL 11 40H",RHE,12,FALSE)</f>
        <v>222</v>
      </c>
      <c r="X47" s="863"/>
      <c r="Y47" s="71"/>
      <c r="Z47" s="31"/>
    </row>
    <row r="48" spans="2:24" ht="12.75">
      <c r="B48" s="70"/>
      <c r="C48" s="29"/>
      <c r="J48" s="29"/>
      <c r="K48" s="71"/>
      <c r="M48" s="189" t="s">
        <v>827</v>
      </c>
      <c r="N48" s="65">
        <f t="shared" si="0"/>
        <v>1015.33</v>
      </c>
      <c r="P48" s="70"/>
      <c r="Q48" s="29"/>
      <c r="X48" s="29"/>
    </row>
    <row r="49" spans="2:25" ht="12.75">
      <c r="B49" s="70"/>
      <c r="C49" s="29"/>
      <c r="J49" s="29"/>
      <c r="K49" s="71"/>
      <c r="M49" s="189" t="s">
        <v>1423</v>
      </c>
      <c r="N49" s="65">
        <f>U11</f>
        <v>1986.85</v>
      </c>
      <c r="P49" s="70"/>
      <c r="Q49" s="29"/>
      <c r="X49" s="29"/>
      <c r="Y49" s="71"/>
    </row>
    <row r="50" spans="2:25" ht="21" customHeight="1">
      <c r="B50" s="70"/>
      <c r="C50" s="29"/>
      <c r="D50" s="1266" t="s">
        <v>365</v>
      </c>
      <c r="E50" s="1267"/>
      <c r="F50" s="1267"/>
      <c r="G50" s="1267"/>
      <c r="H50" s="1268"/>
      <c r="I50" s="1278">
        <v>28.9</v>
      </c>
      <c r="J50" s="29"/>
      <c r="K50" s="71"/>
      <c r="M50" s="189" t="s">
        <v>1424</v>
      </c>
      <c r="N50" s="65">
        <f aca="true" t="shared" si="1" ref="N50:N61">U12</f>
        <v>2483.93</v>
      </c>
      <c r="P50" s="70"/>
      <c r="Q50" s="29"/>
      <c r="R50" s="1266" t="s">
        <v>365</v>
      </c>
      <c r="S50" s="1267"/>
      <c r="T50" s="1267"/>
      <c r="U50" s="1267"/>
      <c r="V50" s="1268"/>
      <c r="W50" s="1278">
        <v>28.9</v>
      </c>
      <c r="X50" s="29"/>
      <c r="Y50" s="71"/>
    </row>
    <row r="51" spans="2:25" ht="12.75">
      <c r="B51" s="70"/>
      <c r="C51" s="29"/>
      <c r="D51" s="1275" t="s">
        <v>127</v>
      </c>
      <c r="E51" s="1276"/>
      <c r="F51" s="1276"/>
      <c r="G51" s="1276"/>
      <c r="H51" s="1277"/>
      <c r="I51" s="1279"/>
      <c r="K51" s="71"/>
      <c r="M51" s="189" t="s">
        <v>1425</v>
      </c>
      <c r="N51" s="65">
        <f t="shared" si="1"/>
        <v>3209.09</v>
      </c>
      <c r="P51" s="70"/>
      <c r="Q51" s="29"/>
      <c r="R51" s="1275" t="s">
        <v>127</v>
      </c>
      <c r="S51" s="1276"/>
      <c r="T51" s="1276"/>
      <c r="U51" s="1276"/>
      <c r="V51" s="1277"/>
      <c r="W51" s="1279"/>
      <c r="Y51" s="71"/>
    </row>
    <row r="52" spans="2:25" ht="12.75">
      <c r="B52" s="70"/>
      <c r="C52" s="29"/>
      <c r="D52" s="29"/>
      <c r="E52" s="174"/>
      <c r="F52" s="29"/>
      <c r="G52" s="131"/>
      <c r="H52" s="131"/>
      <c r="K52" s="71"/>
      <c r="M52" s="189" t="s">
        <v>1713</v>
      </c>
      <c r="N52" s="65">
        <f t="shared" si="1"/>
        <v>3003.59</v>
      </c>
      <c r="P52" s="70"/>
      <c r="Q52" s="29"/>
      <c r="R52" s="29"/>
      <c r="S52" s="174"/>
      <c r="T52" s="29"/>
      <c r="U52" s="131"/>
      <c r="V52" s="131"/>
      <c r="Y52" s="71"/>
    </row>
    <row r="53" spans="2:25" ht="12.75">
      <c r="B53" s="70"/>
      <c r="C53" s="29"/>
      <c r="D53" s="32" t="s">
        <v>1404</v>
      </c>
      <c r="F53" s="29"/>
      <c r="G53" s="131"/>
      <c r="H53" s="131"/>
      <c r="K53" s="71"/>
      <c r="M53" s="189" t="s">
        <v>1714</v>
      </c>
      <c r="N53" s="65">
        <f t="shared" si="1"/>
        <v>4220.75</v>
      </c>
      <c r="P53" s="70"/>
      <c r="Q53" s="29"/>
      <c r="R53" s="32" t="s">
        <v>1404</v>
      </c>
      <c r="T53" s="29"/>
      <c r="U53" s="131"/>
      <c r="V53" s="131"/>
      <c r="Y53" s="71"/>
    </row>
    <row r="54" spans="2:25" ht="12.75">
      <c r="B54" s="70"/>
      <c r="C54" s="29"/>
      <c r="D54" s="29"/>
      <c r="F54" s="29"/>
      <c r="G54" s="131"/>
      <c r="H54" s="131"/>
      <c r="K54" s="71"/>
      <c r="L54" s="771"/>
      <c r="M54" s="189" t="s">
        <v>1715</v>
      </c>
      <c r="N54" s="65">
        <f t="shared" si="1"/>
        <v>5714.22</v>
      </c>
      <c r="P54" s="70"/>
      <c r="Q54" s="29"/>
      <c r="R54" s="29"/>
      <c r="T54" s="29"/>
      <c r="U54" s="131"/>
      <c r="V54" s="131"/>
      <c r="Y54" s="71"/>
    </row>
    <row r="55" spans="2:25" ht="12.75">
      <c r="B55" s="70"/>
      <c r="C55" s="29"/>
      <c r="D55" s="1273" t="s">
        <v>891</v>
      </c>
      <c r="E55" s="1273"/>
      <c r="F55" s="1273"/>
      <c r="G55" s="1273"/>
      <c r="H55" s="1273"/>
      <c r="I55" s="1273"/>
      <c r="J55" s="29"/>
      <c r="K55" s="71"/>
      <c r="L55" s="771"/>
      <c r="M55" s="189" t="s">
        <v>1716</v>
      </c>
      <c r="N55" s="65">
        <f t="shared" si="1"/>
        <v>6797.2</v>
      </c>
      <c r="P55" s="70"/>
      <c r="Q55" s="29"/>
      <c r="R55" s="1273" t="s">
        <v>891</v>
      </c>
      <c r="S55" s="1273"/>
      <c r="T55" s="1273"/>
      <c r="U55" s="1273"/>
      <c r="V55" s="1273"/>
      <c r="W55" s="1273"/>
      <c r="X55" s="29"/>
      <c r="Y55" s="71"/>
    </row>
    <row r="56" spans="2:25" ht="12.75">
      <c r="B56" s="70"/>
      <c r="C56" s="29"/>
      <c r="D56" s="1273"/>
      <c r="E56" s="1273"/>
      <c r="F56" s="1273"/>
      <c r="G56" s="1273"/>
      <c r="H56" s="1273"/>
      <c r="I56" s="1273"/>
      <c r="J56" s="29"/>
      <c r="K56" s="71"/>
      <c r="L56" s="771"/>
      <c r="M56" s="189" t="s">
        <v>1717</v>
      </c>
      <c r="N56" s="65">
        <f t="shared" si="1"/>
        <v>9860</v>
      </c>
      <c r="P56" s="70"/>
      <c r="Q56" s="29"/>
      <c r="R56" s="1273"/>
      <c r="S56" s="1273"/>
      <c r="T56" s="1273"/>
      <c r="U56" s="1273"/>
      <c r="V56" s="1273"/>
      <c r="W56" s="1273"/>
      <c r="X56" s="29"/>
      <c r="Y56" s="71"/>
    </row>
    <row r="57" spans="2:25" ht="12.75">
      <c r="B57" s="70"/>
      <c r="C57" s="29"/>
      <c r="D57" s="1273"/>
      <c r="E57" s="1273"/>
      <c r="F57" s="1273"/>
      <c r="G57" s="1273"/>
      <c r="H57" s="1273"/>
      <c r="I57" s="1273"/>
      <c r="J57" s="29"/>
      <c r="K57" s="71"/>
      <c r="L57" s="771"/>
      <c r="M57" s="189" t="s">
        <v>1718</v>
      </c>
      <c r="N57" s="65">
        <f t="shared" si="1"/>
        <v>12091</v>
      </c>
      <c r="P57" s="70"/>
      <c r="Q57" s="29"/>
      <c r="R57" s="1273"/>
      <c r="S57" s="1273"/>
      <c r="T57" s="1273"/>
      <c r="U57" s="1273"/>
      <c r="V57" s="1273"/>
      <c r="W57" s="1273"/>
      <c r="X57" s="29"/>
      <c r="Y57" s="71"/>
    </row>
    <row r="58" spans="2:25" ht="12.75">
      <c r="B58" s="70"/>
      <c r="C58" s="29"/>
      <c r="D58" s="32" t="s">
        <v>1405</v>
      </c>
      <c r="F58" s="29"/>
      <c r="G58" s="131"/>
      <c r="J58" s="29"/>
      <c r="K58" s="71"/>
      <c r="L58" s="771"/>
      <c r="M58" s="189" t="s">
        <v>1719</v>
      </c>
      <c r="N58" s="65">
        <f t="shared" si="1"/>
        <v>14410</v>
      </c>
      <c r="P58" s="70"/>
      <c r="Q58" s="29"/>
      <c r="R58" s="32" t="s">
        <v>1405</v>
      </c>
      <c r="T58" s="29"/>
      <c r="U58" s="131"/>
      <c r="X58" s="29"/>
      <c r="Y58" s="71"/>
    </row>
    <row r="59" spans="2:25" ht="12.75">
      <c r="B59" s="70"/>
      <c r="C59" s="29"/>
      <c r="F59" s="29"/>
      <c r="G59" s="131"/>
      <c r="J59" s="29"/>
      <c r="K59" s="71"/>
      <c r="M59" s="189" t="s">
        <v>1720</v>
      </c>
      <c r="N59" s="65">
        <f t="shared" si="1"/>
        <v>16416</v>
      </c>
      <c r="P59" s="70"/>
      <c r="Q59" s="29"/>
      <c r="T59" s="29"/>
      <c r="U59" s="131"/>
      <c r="X59" s="29"/>
      <c r="Y59" s="71"/>
    </row>
    <row r="60" spans="2:25" ht="12.75">
      <c r="B60" s="70"/>
      <c r="C60" s="29"/>
      <c r="D60" s="32" t="s">
        <v>304</v>
      </c>
      <c r="J60" s="29"/>
      <c r="K60" s="71"/>
      <c r="M60" s="189" t="s">
        <v>1721</v>
      </c>
      <c r="N60" s="65">
        <f t="shared" si="1"/>
        <v>4376.39</v>
      </c>
      <c r="P60" s="70"/>
      <c r="Q60" s="29"/>
      <c r="R60" s="32" t="s">
        <v>304</v>
      </c>
      <c r="X60" s="29"/>
      <c r="Y60" s="71"/>
    </row>
    <row r="61" spans="2:25" ht="12.75">
      <c r="B61" s="70"/>
      <c r="C61" s="29"/>
      <c r="H61" s="131"/>
      <c r="J61" s="29"/>
      <c r="K61" s="71"/>
      <c r="M61" s="189" t="s">
        <v>1722</v>
      </c>
      <c r="N61" s="65">
        <f t="shared" si="1"/>
        <v>8888.44</v>
      </c>
      <c r="P61" s="70"/>
      <c r="Q61" s="29"/>
      <c r="V61" s="131"/>
      <c r="X61" s="29"/>
      <c r="Y61" s="71"/>
    </row>
    <row r="62" spans="2:25" ht="12.75">
      <c r="B62" s="70"/>
      <c r="C62" s="29"/>
      <c r="D62" s="188" t="s">
        <v>892</v>
      </c>
      <c r="K62" s="71"/>
      <c r="M62" s="189" t="s">
        <v>1723</v>
      </c>
      <c r="N62" s="65">
        <f>U45</f>
        <v>4691.34</v>
      </c>
      <c r="P62" s="70"/>
      <c r="Q62" s="29"/>
      <c r="R62" s="188" t="s">
        <v>892</v>
      </c>
      <c r="Y62" s="71"/>
    </row>
    <row r="63" spans="2:25" ht="12.75">
      <c r="B63" s="74"/>
      <c r="C63" s="113"/>
      <c r="D63" s="113"/>
      <c r="E63" s="113"/>
      <c r="F63" s="113"/>
      <c r="G63" s="180"/>
      <c r="H63" s="180"/>
      <c r="I63" s="180"/>
      <c r="J63" s="113"/>
      <c r="K63" s="75"/>
      <c r="L63" s="771"/>
      <c r="M63" s="189" t="s">
        <v>1724</v>
      </c>
      <c r="N63" s="65">
        <f>U46</f>
        <v>5714.22</v>
      </c>
      <c r="P63" s="74"/>
      <c r="Q63" s="113"/>
      <c r="R63" s="113"/>
      <c r="S63" s="113"/>
      <c r="T63" s="113"/>
      <c r="U63" s="180"/>
      <c r="V63" s="180"/>
      <c r="W63" s="180"/>
      <c r="X63" s="113"/>
      <c r="Y63" s="75"/>
    </row>
    <row r="64" spans="2:24" ht="13.5" thickBot="1">
      <c r="B64" s="104"/>
      <c r="C64" s="29"/>
      <c r="H64" s="131"/>
      <c r="I64" s="131"/>
      <c r="J64" s="29"/>
      <c r="K64" s="104"/>
      <c r="M64" s="1150" t="s">
        <v>1725</v>
      </c>
      <c r="N64" s="83">
        <f>U47</f>
        <v>6797.2</v>
      </c>
      <c r="P64" s="104"/>
      <c r="Q64" s="29"/>
      <c r="V64" s="131"/>
      <c r="W64" s="131"/>
      <c r="X64" s="29"/>
    </row>
    <row r="65" spans="2:24" ht="12.75">
      <c r="B65" s="29"/>
      <c r="C65" s="29"/>
      <c r="D65" s="29"/>
      <c r="E65" s="29"/>
      <c r="F65" s="29"/>
      <c r="G65" s="131"/>
      <c r="H65" s="131"/>
      <c r="I65" s="131"/>
      <c r="J65" s="29"/>
      <c r="K65" s="29"/>
      <c r="P65" s="29"/>
      <c r="Q65" s="29"/>
      <c r="R65" s="29"/>
      <c r="S65" s="29"/>
      <c r="T65" s="29"/>
      <c r="U65" s="131"/>
      <c r="V65" s="131"/>
      <c r="W65" s="131"/>
      <c r="X65" s="29"/>
    </row>
    <row r="66" spans="2:24" ht="12.75">
      <c r="B66" s="29"/>
      <c r="C66" s="29"/>
      <c r="D66" s="29"/>
      <c r="E66" s="29"/>
      <c r="F66" s="29"/>
      <c r="G66" s="131"/>
      <c r="H66" s="131"/>
      <c r="I66" s="131"/>
      <c r="J66" s="29"/>
      <c r="K66" s="29"/>
      <c r="P66" s="29"/>
      <c r="Q66" s="29"/>
      <c r="R66" s="29"/>
      <c r="S66" s="29"/>
      <c r="T66" s="29"/>
      <c r="U66" s="131"/>
      <c r="V66" s="131"/>
      <c r="W66" s="131"/>
      <c r="X66" s="29"/>
    </row>
    <row r="72" spans="2:25" ht="12.75">
      <c r="B72" s="81"/>
      <c r="C72" s="81"/>
      <c r="D72" s="81"/>
      <c r="E72" s="81"/>
      <c r="F72" s="81"/>
      <c r="G72" s="171"/>
      <c r="H72" s="171"/>
      <c r="I72" s="171"/>
      <c r="J72" s="81"/>
      <c r="K72" s="81"/>
      <c r="P72" s="81"/>
      <c r="Q72" s="81"/>
      <c r="R72" s="81"/>
      <c r="S72" s="81"/>
      <c r="T72" s="81"/>
      <c r="U72" s="171"/>
      <c r="V72" s="171"/>
      <c r="W72" s="171"/>
      <c r="X72" s="81"/>
      <c r="Y72" s="81"/>
    </row>
    <row r="73" spans="2:25" ht="12.75">
      <c r="B73" s="81"/>
      <c r="C73" s="81"/>
      <c r="D73" s="81"/>
      <c r="E73" s="81"/>
      <c r="F73" s="81"/>
      <c r="G73" s="171"/>
      <c r="H73" s="171"/>
      <c r="I73" s="171"/>
      <c r="J73" s="81"/>
      <c r="K73" s="81"/>
      <c r="P73" s="81"/>
      <c r="Q73" s="81"/>
      <c r="R73" s="81"/>
      <c r="S73" s="81"/>
      <c r="T73" s="81"/>
      <c r="U73" s="171"/>
      <c r="V73" s="171"/>
      <c r="W73" s="171"/>
      <c r="X73" s="81"/>
      <c r="Y73" s="81"/>
    </row>
    <row r="74" spans="2:25" ht="12.75">
      <c r="B74" s="81"/>
      <c r="C74" s="81"/>
      <c r="D74" s="81"/>
      <c r="E74" s="81"/>
      <c r="F74" s="81"/>
      <c r="G74" s="171"/>
      <c r="H74" s="171"/>
      <c r="I74" s="171"/>
      <c r="J74" s="81"/>
      <c r="K74" s="81"/>
      <c r="P74" s="81"/>
      <c r="Q74" s="81"/>
      <c r="R74" s="81"/>
      <c r="S74" s="81"/>
      <c r="T74" s="81"/>
      <c r="U74" s="171"/>
      <c r="V74" s="171"/>
      <c r="W74" s="171"/>
      <c r="X74" s="81"/>
      <c r="Y74" s="81"/>
    </row>
    <row r="75" spans="2:25" ht="12.75">
      <c r="B75" s="81"/>
      <c r="C75" s="81"/>
      <c r="D75" s="81"/>
      <c r="E75" s="81"/>
      <c r="F75" s="81"/>
      <c r="G75" s="171"/>
      <c r="H75" s="171"/>
      <c r="I75" s="171"/>
      <c r="J75" s="81"/>
      <c r="K75" s="81"/>
      <c r="P75" s="81"/>
      <c r="Q75" s="81"/>
      <c r="R75" s="81"/>
      <c r="S75" s="81"/>
      <c r="T75" s="81"/>
      <c r="U75" s="171"/>
      <c r="V75" s="171"/>
      <c r="W75" s="171"/>
      <c r="X75" s="81"/>
      <c r="Y75" s="81"/>
    </row>
    <row r="76" spans="2:25" ht="12.75">
      <c r="B76" s="81"/>
      <c r="C76" s="81"/>
      <c r="D76" s="81"/>
      <c r="E76" s="81"/>
      <c r="F76" s="81"/>
      <c r="G76" s="171"/>
      <c r="H76" s="171"/>
      <c r="I76" s="171"/>
      <c r="J76" s="81"/>
      <c r="K76" s="81"/>
      <c r="P76" s="81"/>
      <c r="Q76" s="81"/>
      <c r="R76" s="81"/>
      <c r="S76" s="81"/>
      <c r="T76" s="81"/>
      <c r="U76" s="171"/>
      <c r="V76" s="171"/>
      <c r="W76" s="171"/>
      <c r="X76" s="81"/>
      <c r="Y76" s="81"/>
    </row>
    <row r="77" spans="2:25" ht="12.75">
      <c r="B77" s="81"/>
      <c r="C77" s="81"/>
      <c r="D77" s="81"/>
      <c r="E77" s="81"/>
      <c r="F77" s="81"/>
      <c r="G77" s="171"/>
      <c r="H77" s="171"/>
      <c r="I77" s="171"/>
      <c r="J77" s="81"/>
      <c r="K77" s="81"/>
      <c r="P77" s="81"/>
      <c r="Q77" s="81"/>
      <c r="R77" s="81"/>
      <c r="S77" s="81"/>
      <c r="T77" s="81"/>
      <c r="U77" s="171"/>
      <c r="V77" s="171"/>
      <c r="W77" s="171"/>
      <c r="X77" s="81"/>
      <c r="Y77" s="81"/>
    </row>
    <row r="78" spans="2:25" ht="12.75">
      <c r="B78" s="81"/>
      <c r="C78" s="81"/>
      <c r="D78" s="81"/>
      <c r="E78" s="81"/>
      <c r="F78" s="81"/>
      <c r="G78" s="171"/>
      <c r="H78" s="171"/>
      <c r="I78" s="171"/>
      <c r="J78" s="81"/>
      <c r="K78" s="81"/>
      <c r="P78" s="81"/>
      <c r="Q78" s="81"/>
      <c r="R78" s="81"/>
      <c r="S78" s="81"/>
      <c r="T78" s="81"/>
      <c r="U78" s="171"/>
      <c r="V78" s="171"/>
      <c r="W78" s="171"/>
      <c r="X78" s="81"/>
      <c r="Y78" s="81"/>
    </row>
    <row r="79" spans="2:25" ht="12.75">
      <c r="B79" s="81"/>
      <c r="C79" s="81"/>
      <c r="D79" s="81"/>
      <c r="E79" s="81"/>
      <c r="F79" s="81"/>
      <c r="G79" s="171"/>
      <c r="H79" s="171"/>
      <c r="I79" s="171"/>
      <c r="J79" s="81"/>
      <c r="K79" s="81"/>
      <c r="P79" s="81"/>
      <c r="Q79" s="81"/>
      <c r="R79" s="81"/>
      <c r="S79" s="81"/>
      <c r="T79" s="81"/>
      <c r="U79" s="171"/>
      <c r="V79" s="171"/>
      <c r="W79" s="171"/>
      <c r="X79" s="81"/>
      <c r="Y79" s="81"/>
    </row>
    <row r="80" spans="2:25" ht="12.75">
      <c r="B80" s="81"/>
      <c r="C80" s="81"/>
      <c r="D80" s="81"/>
      <c r="E80" s="81"/>
      <c r="F80" s="81"/>
      <c r="G80" s="171"/>
      <c r="H80" s="171"/>
      <c r="I80" s="171"/>
      <c r="J80" s="81"/>
      <c r="K80" s="81"/>
      <c r="P80" s="81"/>
      <c r="Q80" s="81"/>
      <c r="R80" s="81"/>
      <c r="S80" s="81"/>
      <c r="T80" s="81"/>
      <c r="U80" s="171"/>
      <c r="V80" s="171"/>
      <c r="W80" s="171"/>
      <c r="X80" s="81"/>
      <c r="Y80" s="81"/>
    </row>
    <row r="81" spans="2:25" ht="12.75">
      <c r="B81" s="81"/>
      <c r="C81" s="81"/>
      <c r="D81" s="81"/>
      <c r="E81" s="81"/>
      <c r="F81" s="81"/>
      <c r="G81" s="171"/>
      <c r="H81" s="171"/>
      <c r="I81" s="171"/>
      <c r="J81" s="81"/>
      <c r="K81" s="81"/>
      <c r="P81" s="81"/>
      <c r="Q81" s="81"/>
      <c r="R81" s="81"/>
      <c r="S81" s="81"/>
      <c r="T81" s="81"/>
      <c r="U81" s="171"/>
      <c r="V81" s="171"/>
      <c r="W81" s="171"/>
      <c r="X81" s="81"/>
      <c r="Y81" s="81"/>
    </row>
    <row r="82" spans="2:25" ht="12.75">
      <c r="B82" s="81"/>
      <c r="C82" s="81"/>
      <c r="D82" s="81"/>
      <c r="E82" s="81"/>
      <c r="F82" s="81"/>
      <c r="G82" s="171"/>
      <c r="H82" s="171"/>
      <c r="I82" s="171"/>
      <c r="J82" s="81"/>
      <c r="K82" s="81"/>
      <c r="P82" s="81"/>
      <c r="Q82" s="81"/>
      <c r="R82" s="81"/>
      <c r="S82" s="81"/>
      <c r="T82" s="81"/>
      <c r="U82" s="171"/>
      <c r="V82" s="171"/>
      <c r="W82" s="171"/>
      <c r="X82" s="81"/>
      <c r="Y82" s="81"/>
    </row>
    <row r="83" spans="2:25" ht="12.75">
      <c r="B83" s="81"/>
      <c r="C83" s="81"/>
      <c r="D83" s="81"/>
      <c r="E83" s="81"/>
      <c r="F83" s="81"/>
      <c r="G83" s="171"/>
      <c r="H83" s="171"/>
      <c r="I83" s="171"/>
      <c r="J83" s="81"/>
      <c r="K83" s="81"/>
      <c r="P83" s="81"/>
      <c r="Q83" s="81"/>
      <c r="R83" s="81"/>
      <c r="S83" s="81"/>
      <c r="T83" s="81"/>
      <c r="U83" s="171"/>
      <c r="V83" s="171"/>
      <c r="W83" s="171"/>
      <c r="X83" s="81"/>
      <c r="Y83" s="81"/>
    </row>
    <row r="84" spans="2:25" ht="12.75">
      <c r="B84" s="81"/>
      <c r="C84" s="81"/>
      <c r="D84" s="81"/>
      <c r="E84" s="81"/>
      <c r="F84" s="81"/>
      <c r="G84" s="171"/>
      <c r="H84" s="171"/>
      <c r="I84" s="171"/>
      <c r="J84" s="81"/>
      <c r="K84" s="81"/>
      <c r="L84" s="771"/>
      <c r="P84" s="81"/>
      <c r="Q84" s="81"/>
      <c r="R84" s="81"/>
      <c r="S84" s="81"/>
      <c r="T84" s="81"/>
      <c r="U84" s="171"/>
      <c r="V84" s="171"/>
      <c r="W84" s="171"/>
      <c r="X84" s="81"/>
      <c r="Y84" s="81"/>
    </row>
    <row r="85" spans="2:25" ht="12.75">
      <c r="B85" s="81"/>
      <c r="C85" s="81"/>
      <c r="D85" s="81"/>
      <c r="E85" s="81"/>
      <c r="F85" s="81"/>
      <c r="G85" s="171"/>
      <c r="H85" s="171"/>
      <c r="I85" s="171"/>
      <c r="J85" s="81"/>
      <c r="K85" s="81"/>
      <c r="P85" s="81"/>
      <c r="Q85" s="81"/>
      <c r="R85" s="81"/>
      <c r="S85" s="81"/>
      <c r="T85" s="81"/>
      <c r="U85" s="171"/>
      <c r="V85" s="171"/>
      <c r="W85" s="171"/>
      <c r="X85" s="81"/>
      <c r="Y85" s="81"/>
    </row>
    <row r="86" spans="2:25" ht="12.75">
      <c r="B86" s="81"/>
      <c r="C86" s="81"/>
      <c r="D86" s="81"/>
      <c r="E86" s="81"/>
      <c r="F86" s="81"/>
      <c r="G86" s="171"/>
      <c r="H86" s="171"/>
      <c r="I86" s="171"/>
      <c r="J86" s="81"/>
      <c r="K86" s="81"/>
      <c r="L86" s="771"/>
      <c r="P86" s="81"/>
      <c r="Q86" s="81"/>
      <c r="R86" s="81"/>
      <c r="S86" s="81"/>
      <c r="T86" s="81"/>
      <c r="U86" s="171"/>
      <c r="V86" s="171"/>
      <c r="W86" s="171"/>
      <c r="X86" s="81"/>
      <c r="Y86" s="81"/>
    </row>
    <row r="87" spans="2:25" ht="12.75">
      <c r="B87" s="81"/>
      <c r="C87" s="81"/>
      <c r="D87" s="81"/>
      <c r="E87" s="81"/>
      <c r="F87" s="81"/>
      <c r="G87" s="171"/>
      <c r="H87" s="171"/>
      <c r="I87" s="171"/>
      <c r="J87" s="81"/>
      <c r="K87" s="81"/>
      <c r="P87" s="81"/>
      <c r="Q87" s="81"/>
      <c r="R87" s="81"/>
      <c r="S87" s="81"/>
      <c r="T87" s="81"/>
      <c r="U87" s="171"/>
      <c r="V87" s="171"/>
      <c r="W87" s="171"/>
      <c r="X87" s="81"/>
      <c r="Y87" s="81"/>
    </row>
    <row r="88" spans="2:25" ht="12.75">
      <c r="B88" s="81"/>
      <c r="C88" s="81"/>
      <c r="D88" s="81"/>
      <c r="E88" s="81"/>
      <c r="F88" s="81"/>
      <c r="G88" s="171"/>
      <c r="H88" s="171"/>
      <c r="I88" s="171"/>
      <c r="J88" s="81"/>
      <c r="K88" s="81"/>
      <c r="L88" s="771"/>
      <c r="P88" s="81"/>
      <c r="Q88" s="81"/>
      <c r="R88" s="81"/>
      <c r="S88" s="81"/>
      <c r="T88" s="81"/>
      <c r="U88" s="171"/>
      <c r="V88" s="171"/>
      <c r="W88" s="171"/>
      <c r="X88" s="81"/>
      <c r="Y88" s="81"/>
    </row>
    <row r="89" spans="2:25" ht="12.75">
      <c r="B89" s="81"/>
      <c r="C89" s="81"/>
      <c r="D89" s="81"/>
      <c r="E89" s="81"/>
      <c r="F89" s="81"/>
      <c r="G89" s="171"/>
      <c r="H89" s="171"/>
      <c r="I89" s="171"/>
      <c r="J89" s="81"/>
      <c r="K89" s="81"/>
      <c r="P89" s="81"/>
      <c r="Q89" s="81"/>
      <c r="R89" s="81"/>
      <c r="S89" s="81"/>
      <c r="T89" s="81"/>
      <c r="U89" s="171"/>
      <c r="V89" s="171"/>
      <c r="W89" s="171"/>
      <c r="X89" s="81"/>
      <c r="Y89" s="81"/>
    </row>
    <row r="90" spans="2:25" ht="12.75">
      <c r="B90" s="81"/>
      <c r="C90" s="81"/>
      <c r="D90" s="81"/>
      <c r="E90" s="81"/>
      <c r="F90" s="81"/>
      <c r="G90" s="171"/>
      <c r="H90" s="171"/>
      <c r="I90" s="171"/>
      <c r="J90" s="81"/>
      <c r="K90" s="81"/>
      <c r="P90" s="81"/>
      <c r="Q90" s="81"/>
      <c r="R90" s="81"/>
      <c r="S90" s="81"/>
      <c r="T90" s="81"/>
      <c r="U90" s="171"/>
      <c r="V90" s="171"/>
      <c r="W90" s="171"/>
      <c r="X90" s="81"/>
      <c r="Y90" s="81"/>
    </row>
    <row r="91" spans="2:25" ht="12.75">
      <c r="B91" s="81"/>
      <c r="C91" s="81"/>
      <c r="D91" s="81"/>
      <c r="E91" s="81"/>
      <c r="F91" s="81"/>
      <c r="G91" s="171"/>
      <c r="H91" s="171"/>
      <c r="I91" s="171"/>
      <c r="J91" s="81"/>
      <c r="K91" s="81"/>
      <c r="P91" s="81"/>
      <c r="Q91" s="81"/>
      <c r="R91" s="81"/>
      <c r="S91" s="81"/>
      <c r="T91" s="81"/>
      <c r="U91" s="171"/>
      <c r="V91" s="171"/>
      <c r="W91" s="171"/>
      <c r="X91" s="81"/>
      <c r="Y91" s="81"/>
    </row>
    <row r="92" spans="2:25" ht="12.75">
      <c r="B92" s="81"/>
      <c r="C92" s="81"/>
      <c r="D92" s="81"/>
      <c r="E92" s="81"/>
      <c r="F92" s="81"/>
      <c r="G92" s="171"/>
      <c r="H92" s="171"/>
      <c r="I92" s="171"/>
      <c r="J92" s="81"/>
      <c r="K92" s="81"/>
      <c r="P92" s="81"/>
      <c r="Q92" s="81"/>
      <c r="R92" s="81"/>
      <c r="S92" s="81"/>
      <c r="T92" s="81"/>
      <c r="U92" s="171"/>
      <c r="V92" s="171"/>
      <c r="W92" s="171"/>
      <c r="X92" s="81"/>
      <c r="Y92" s="81"/>
    </row>
    <row r="93" spans="2:25" ht="12.75">
      <c r="B93" s="81"/>
      <c r="C93" s="81"/>
      <c r="D93" s="81"/>
      <c r="E93" s="81"/>
      <c r="F93" s="81"/>
      <c r="G93" s="171"/>
      <c r="H93" s="171"/>
      <c r="I93" s="171"/>
      <c r="J93" s="81"/>
      <c r="K93" s="81"/>
      <c r="P93" s="81"/>
      <c r="Q93" s="81"/>
      <c r="R93" s="81"/>
      <c r="S93" s="81"/>
      <c r="T93" s="81"/>
      <c r="U93" s="171"/>
      <c r="V93" s="171"/>
      <c r="W93" s="171"/>
      <c r="X93" s="81"/>
      <c r="Y93" s="81"/>
    </row>
    <row r="94" spans="2:25" ht="12.75">
      <c r="B94" s="81"/>
      <c r="C94" s="81"/>
      <c r="D94" s="81"/>
      <c r="E94" s="81"/>
      <c r="F94" s="81"/>
      <c r="G94" s="171"/>
      <c r="H94" s="171"/>
      <c r="I94" s="171"/>
      <c r="J94" s="81"/>
      <c r="K94" s="81"/>
      <c r="P94" s="81"/>
      <c r="Q94" s="81"/>
      <c r="R94" s="81"/>
      <c r="S94" s="81"/>
      <c r="T94" s="81"/>
      <c r="U94" s="171"/>
      <c r="V94" s="171"/>
      <c r="W94" s="171"/>
      <c r="X94" s="81"/>
      <c r="Y94" s="81"/>
    </row>
    <row r="95" spans="2:25" ht="12.75">
      <c r="B95" s="81"/>
      <c r="C95" s="81"/>
      <c r="D95" s="81"/>
      <c r="E95" s="81"/>
      <c r="F95" s="81"/>
      <c r="G95" s="171"/>
      <c r="H95" s="171"/>
      <c r="I95" s="171"/>
      <c r="J95" s="81"/>
      <c r="K95" s="81"/>
      <c r="P95" s="81"/>
      <c r="Q95" s="81"/>
      <c r="R95" s="81"/>
      <c r="S95" s="81"/>
      <c r="T95" s="81"/>
      <c r="U95" s="171"/>
      <c r="V95" s="171"/>
      <c r="W95" s="171"/>
      <c r="X95" s="81"/>
      <c r="Y95" s="81"/>
    </row>
    <row r="96" spans="2:25" ht="12.75">
      <c r="B96" s="81"/>
      <c r="C96" s="81"/>
      <c r="D96" s="81"/>
      <c r="E96" s="81"/>
      <c r="F96" s="81"/>
      <c r="G96" s="171"/>
      <c r="H96" s="171"/>
      <c r="I96" s="171"/>
      <c r="J96" s="81"/>
      <c r="K96" s="81"/>
      <c r="P96" s="81"/>
      <c r="Q96" s="81"/>
      <c r="R96" s="81"/>
      <c r="S96" s="81"/>
      <c r="T96" s="81"/>
      <c r="U96" s="171"/>
      <c r="V96" s="171"/>
      <c r="W96" s="171"/>
      <c r="X96" s="81"/>
      <c r="Y96" s="81"/>
    </row>
    <row r="97" spans="2:25" ht="12.75">
      <c r="B97" s="81"/>
      <c r="C97" s="81"/>
      <c r="D97" s="81"/>
      <c r="E97" s="81"/>
      <c r="F97" s="81"/>
      <c r="G97" s="171"/>
      <c r="H97" s="171"/>
      <c r="I97" s="171"/>
      <c r="J97" s="81"/>
      <c r="K97" s="81"/>
      <c r="P97" s="81"/>
      <c r="Q97" s="81"/>
      <c r="R97" s="81"/>
      <c r="S97" s="81"/>
      <c r="T97" s="81"/>
      <c r="U97" s="171"/>
      <c r="V97" s="171"/>
      <c r="W97" s="171"/>
      <c r="X97" s="81"/>
      <c r="Y97" s="81"/>
    </row>
    <row r="98" spans="2:25" ht="12.75">
      <c r="B98" s="81"/>
      <c r="C98" s="81"/>
      <c r="D98" s="81"/>
      <c r="E98" s="81"/>
      <c r="F98" s="81"/>
      <c r="G98" s="171"/>
      <c r="H98" s="171"/>
      <c r="I98" s="171"/>
      <c r="J98" s="81"/>
      <c r="K98" s="81"/>
      <c r="P98" s="81"/>
      <c r="Q98" s="81"/>
      <c r="R98" s="81"/>
      <c r="S98" s="81"/>
      <c r="T98" s="81"/>
      <c r="U98" s="171"/>
      <c r="V98" s="171"/>
      <c r="W98" s="171"/>
      <c r="X98" s="81"/>
      <c r="Y98" s="81"/>
    </row>
    <row r="99" spans="2:25" ht="12.75">
      <c r="B99" s="81"/>
      <c r="C99" s="81"/>
      <c r="D99" s="81"/>
      <c r="E99" s="81"/>
      <c r="F99" s="81"/>
      <c r="G99" s="171"/>
      <c r="H99" s="171"/>
      <c r="I99" s="171"/>
      <c r="J99" s="81"/>
      <c r="K99" s="81"/>
      <c r="P99" s="81"/>
      <c r="Q99" s="81"/>
      <c r="R99" s="81"/>
      <c r="S99" s="81"/>
      <c r="T99" s="81"/>
      <c r="U99" s="171"/>
      <c r="V99" s="171"/>
      <c r="W99" s="171"/>
      <c r="X99" s="81"/>
      <c r="Y99" s="81"/>
    </row>
    <row r="100" spans="2:25" ht="12.75">
      <c r="B100" s="81"/>
      <c r="C100" s="81"/>
      <c r="D100" s="81"/>
      <c r="E100" s="81"/>
      <c r="F100" s="81"/>
      <c r="G100" s="171"/>
      <c r="H100" s="171"/>
      <c r="I100" s="171"/>
      <c r="J100" s="81"/>
      <c r="K100" s="81"/>
      <c r="P100" s="81"/>
      <c r="Q100" s="81"/>
      <c r="R100" s="81"/>
      <c r="S100" s="81"/>
      <c r="T100" s="81"/>
      <c r="U100" s="171"/>
      <c r="V100" s="171"/>
      <c r="W100" s="171"/>
      <c r="X100" s="81"/>
      <c r="Y100" s="81"/>
    </row>
    <row r="101" spans="2:25" ht="12.75">
      <c r="B101" s="81"/>
      <c r="C101" s="81"/>
      <c r="D101" s="81"/>
      <c r="E101" s="81"/>
      <c r="F101" s="81"/>
      <c r="G101" s="171"/>
      <c r="H101" s="171"/>
      <c r="I101" s="171"/>
      <c r="J101" s="81"/>
      <c r="K101" s="81"/>
      <c r="P101" s="81"/>
      <c r="Q101" s="81"/>
      <c r="R101" s="81"/>
      <c r="S101" s="81"/>
      <c r="T101" s="81"/>
      <c r="U101" s="171"/>
      <c r="V101" s="171"/>
      <c r="W101" s="171"/>
      <c r="X101" s="81"/>
      <c r="Y101" s="81"/>
    </row>
    <row r="102" spans="2:25" ht="12.75">
      <c r="B102" s="81"/>
      <c r="C102" s="81"/>
      <c r="D102" s="81"/>
      <c r="E102" s="81"/>
      <c r="F102" s="81"/>
      <c r="G102" s="171"/>
      <c r="H102" s="171"/>
      <c r="I102" s="171"/>
      <c r="J102" s="81"/>
      <c r="K102" s="81"/>
      <c r="P102" s="81"/>
      <c r="Q102" s="81"/>
      <c r="R102" s="81"/>
      <c r="S102" s="81"/>
      <c r="T102" s="81"/>
      <c r="U102" s="171"/>
      <c r="V102" s="171"/>
      <c r="W102" s="171"/>
      <c r="X102" s="81"/>
      <c r="Y102" s="81"/>
    </row>
    <row r="103" spans="2:25" ht="12.75">
      <c r="B103" s="81"/>
      <c r="C103" s="81"/>
      <c r="D103" s="81"/>
      <c r="E103" s="81"/>
      <c r="F103" s="81"/>
      <c r="G103" s="171"/>
      <c r="H103" s="171"/>
      <c r="I103" s="171"/>
      <c r="J103" s="81"/>
      <c r="K103" s="81"/>
      <c r="P103" s="81"/>
      <c r="Q103" s="81"/>
      <c r="R103" s="81"/>
      <c r="S103" s="81"/>
      <c r="T103" s="81"/>
      <c r="U103" s="171"/>
      <c r="V103" s="171"/>
      <c r="W103" s="171"/>
      <c r="X103" s="81"/>
      <c r="Y103" s="81"/>
    </row>
    <row r="104" spans="2:25" ht="12.75">
      <c r="B104" s="81"/>
      <c r="C104" s="81"/>
      <c r="D104" s="81"/>
      <c r="E104" s="81"/>
      <c r="F104" s="81"/>
      <c r="G104" s="171"/>
      <c r="H104" s="171"/>
      <c r="I104" s="171"/>
      <c r="J104" s="81"/>
      <c r="K104" s="81"/>
      <c r="P104" s="81"/>
      <c r="Q104" s="81"/>
      <c r="R104" s="81"/>
      <c r="S104" s="81"/>
      <c r="T104" s="81"/>
      <c r="U104" s="171"/>
      <c r="V104" s="171"/>
      <c r="W104" s="171"/>
      <c r="X104" s="81"/>
      <c r="Y104" s="81"/>
    </row>
    <row r="105" spans="2:25" ht="12.75">
      <c r="B105" s="81"/>
      <c r="C105" s="81"/>
      <c r="D105" s="81"/>
      <c r="E105" s="81"/>
      <c r="F105" s="81"/>
      <c r="G105" s="171"/>
      <c r="H105" s="171"/>
      <c r="I105" s="171"/>
      <c r="J105" s="81"/>
      <c r="K105" s="81"/>
      <c r="P105" s="81"/>
      <c r="Q105" s="81"/>
      <c r="R105" s="81"/>
      <c r="S105" s="81"/>
      <c r="T105" s="81"/>
      <c r="U105" s="171"/>
      <c r="V105" s="171"/>
      <c r="W105" s="171"/>
      <c r="X105" s="81"/>
      <c r="Y105" s="81"/>
    </row>
    <row r="106" spans="2:25" ht="12.75">
      <c r="B106" s="81"/>
      <c r="C106" s="81"/>
      <c r="D106" s="81"/>
      <c r="E106" s="81"/>
      <c r="F106" s="81"/>
      <c r="G106" s="171"/>
      <c r="H106" s="171"/>
      <c r="I106" s="171"/>
      <c r="J106" s="81"/>
      <c r="K106" s="81"/>
      <c r="P106" s="81"/>
      <c r="Q106" s="81"/>
      <c r="R106" s="81"/>
      <c r="S106" s="81"/>
      <c r="T106" s="81"/>
      <c r="U106" s="171"/>
      <c r="V106" s="171"/>
      <c r="W106" s="171"/>
      <c r="X106" s="81"/>
      <c r="Y106" s="81"/>
    </row>
    <row r="107" spans="2:25" ht="12.75">
      <c r="B107" s="81"/>
      <c r="C107" s="81"/>
      <c r="D107" s="81"/>
      <c r="E107" s="81"/>
      <c r="F107" s="81"/>
      <c r="G107" s="171"/>
      <c r="H107" s="171"/>
      <c r="I107" s="171"/>
      <c r="J107" s="81"/>
      <c r="K107" s="81"/>
      <c r="P107" s="81"/>
      <c r="Q107" s="81"/>
      <c r="R107" s="81"/>
      <c r="S107" s="81"/>
      <c r="T107" s="81"/>
      <c r="U107" s="171"/>
      <c r="V107" s="171"/>
      <c r="W107" s="171"/>
      <c r="X107" s="81"/>
      <c r="Y107" s="81"/>
    </row>
    <row r="108" spans="2:25" ht="12.75">
      <c r="B108" s="81"/>
      <c r="C108" s="81"/>
      <c r="D108" s="81"/>
      <c r="E108" s="81"/>
      <c r="F108" s="81"/>
      <c r="G108" s="171"/>
      <c r="H108" s="171"/>
      <c r="I108" s="171"/>
      <c r="J108" s="81"/>
      <c r="K108" s="81"/>
      <c r="P108" s="81"/>
      <c r="Q108" s="81"/>
      <c r="R108" s="81"/>
      <c r="S108" s="81"/>
      <c r="T108" s="81"/>
      <c r="U108" s="171"/>
      <c r="V108" s="171"/>
      <c r="W108" s="171"/>
      <c r="X108" s="81"/>
      <c r="Y108" s="81"/>
    </row>
    <row r="109" spans="2:25" ht="12.75">
      <c r="B109" s="81"/>
      <c r="C109" s="81"/>
      <c r="D109" s="81"/>
      <c r="E109" s="81"/>
      <c r="F109" s="81"/>
      <c r="G109" s="171"/>
      <c r="H109" s="171"/>
      <c r="I109" s="171"/>
      <c r="J109" s="81"/>
      <c r="K109" s="81"/>
      <c r="P109" s="81"/>
      <c r="Q109" s="81"/>
      <c r="R109" s="81"/>
      <c r="S109" s="81"/>
      <c r="T109" s="81"/>
      <c r="U109" s="171"/>
      <c r="V109" s="171"/>
      <c r="W109" s="171"/>
      <c r="X109" s="81"/>
      <c r="Y109" s="81"/>
    </row>
    <row r="110" spans="2:25" ht="12.75">
      <c r="B110" s="81"/>
      <c r="C110" s="81"/>
      <c r="D110" s="81"/>
      <c r="E110" s="81"/>
      <c r="F110" s="81"/>
      <c r="G110" s="171"/>
      <c r="H110" s="171"/>
      <c r="I110" s="171"/>
      <c r="J110" s="81"/>
      <c r="K110" s="81"/>
      <c r="P110" s="81"/>
      <c r="Q110" s="81"/>
      <c r="R110" s="81"/>
      <c r="S110" s="81"/>
      <c r="T110" s="81"/>
      <c r="U110" s="171"/>
      <c r="V110" s="171"/>
      <c r="W110" s="171"/>
      <c r="X110" s="81"/>
      <c r="Y110" s="81"/>
    </row>
    <row r="111" spans="2:25" ht="12.75">
      <c r="B111" s="81"/>
      <c r="C111" s="81"/>
      <c r="D111" s="81"/>
      <c r="E111" s="81"/>
      <c r="F111" s="81"/>
      <c r="G111" s="171"/>
      <c r="H111" s="171"/>
      <c r="I111" s="171"/>
      <c r="J111" s="81"/>
      <c r="K111" s="81"/>
      <c r="P111" s="81"/>
      <c r="Q111" s="81"/>
      <c r="R111" s="81"/>
      <c r="S111" s="81"/>
      <c r="T111" s="81"/>
      <c r="U111" s="171"/>
      <c r="V111" s="171"/>
      <c r="W111" s="171"/>
      <c r="X111" s="81"/>
      <c r="Y111" s="81"/>
    </row>
    <row r="112" spans="2:25" ht="12.75">
      <c r="B112" s="81"/>
      <c r="C112" s="81"/>
      <c r="D112" s="81"/>
      <c r="E112" s="81"/>
      <c r="F112" s="81"/>
      <c r="G112" s="171"/>
      <c r="H112" s="171"/>
      <c r="I112" s="171"/>
      <c r="J112" s="81"/>
      <c r="K112" s="81"/>
      <c r="P112" s="81"/>
      <c r="Q112" s="81"/>
      <c r="R112" s="81"/>
      <c r="S112" s="81"/>
      <c r="T112" s="81"/>
      <c r="U112" s="171"/>
      <c r="V112" s="171"/>
      <c r="W112" s="171"/>
      <c r="X112" s="81"/>
      <c r="Y112" s="81"/>
    </row>
    <row r="113" spans="2:25" ht="12.75">
      <c r="B113" s="81"/>
      <c r="C113" s="81"/>
      <c r="D113" s="81"/>
      <c r="E113" s="81"/>
      <c r="F113" s="81"/>
      <c r="G113" s="171"/>
      <c r="H113" s="171"/>
      <c r="I113" s="171"/>
      <c r="J113" s="81"/>
      <c r="K113" s="81"/>
      <c r="P113" s="81"/>
      <c r="Q113" s="81"/>
      <c r="R113" s="81"/>
      <c r="S113" s="81"/>
      <c r="T113" s="81"/>
      <c r="U113" s="171"/>
      <c r="V113" s="171"/>
      <c r="W113" s="171"/>
      <c r="X113" s="81"/>
      <c r="Y113" s="81"/>
    </row>
    <row r="114" spans="2:25" ht="12.75">
      <c r="B114" s="81"/>
      <c r="C114" s="81"/>
      <c r="D114" s="81"/>
      <c r="E114" s="81"/>
      <c r="F114" s="81"/>
      <c r="G114" s="171"/>
      <c r="H114" s="171"/>
      <c r="I114" s="171"/>
      <c r="J114" s="81"/>
      <c r="K114" s="81"/>
      <c r="P114" s="81"/>
      <c r="Q114" s="81"/>
      <c r="R114" s="81"/>
      <c r="S114" s="81"/>
      <c r="T114" s="81"/>
      <c r="U114" s="171"/>
      <c r="V114" s="171"/>
      <c r="W114" s="171"/>
      <c r="X114" s="81"/>
      <c r="Y114" s="81"/>
    </row>
    <row r="115" spans="2:25" ht="12.75">
      <c r="B115" s="81"/>
      <c r="C115" s="81"/>
      <c r="D115" s="81"/>
      <c r="E115" s="81"/>
      <c r="F115" s="81"/>
      <c r="G115" s="171"/>
      <c r="H115" s="171"/>
      <c r="I115" s="171"/>
      <c r="J115" s="81"/>
      <c r="K115" s="81"/>
      <c r="P115" s="81"/>
      <c r="Q115" s="81"/>
      <c r="R115" s="81"/>
      <c r="S115" s="81"/>
      <c r="T115" s="81"/>
      <c r="U115" s="171"/>
      <c r="V115" s="171"/>
      <c r="W115" s="171"/>
      <c r="X115" s="81"/>
      <c r="Y115" s="81"/>
    </row>
    <row r="116" spans="2:25" ht="12.75">
      <c r="B116" s="81"/>
      <c r="C116" s="81"/>
      <c r="D116" s="81"/>
      <c r="E116" s="81"/>
      <c r="F116" s="81"/>
      <c r="G116" s="171"/>
      <c r="H116" s="171"/>
      <c r="I116" s="171"/>
      <c r="J116" s="81"/>
      <c r="K116" s="81"/>
      <c r="P116" s="81"/>
      <c r="Q116" s="81"/>
      <c r="R116" s="81"/>
      <c r="S116" s="81"/>
      <c r="T116" s="81"/>
      <c r="U116" s="171"/>
      <c r="V116" s="171"/>
      <c r="W116" s="171"/>
      <c r="X116" s="81"/>
      <c r="Y116" s="81"/>
    </row>
    <row r="117" spans="2:25" ht="12.75">
      <c r="B117" s="81"/>
      <c r="C117" s="81"/>
      <c r="D117" s="81"/>
      <c r="E117" s="81"/>
      <c r="F117" s="81"/>
      <c r="G117" s="171"/>
      <c r="H117" s="171"/>
      <c r="I117" s="171"/>
      <c r="J117" s="81"/>
      <c r="K117" s="81"/>
      <c r="P117" s="81"/>
      <c r="Q117" s="81"/>
      <c r="R117" s="81"/>
      <c r="S117" s="81"/>
      <c r="T117" s="81"/>
      <c r="U117" s="171"/>
      <c r="V117" s="171"/>
      <c r="W117" s="171"/>
      <c r="X117" s="81"/>
      <c r="Y117" s="81"/>
    </row>
    <row r="118" spans="2:25" ht="12.75">
      <c r="B118" s="81"/>
      <c r="C118" s="81"/>
      <c r="D118" s="81"/>
      <c r="E118" s="81"/>
      <c r="F118" s="81"/>
      <c r="G118" s="171"/>
      <c r="H118" s="171"/>
      <c r="I118" s="171"/>
      <c r="J118" s="81"/>
      <c r="K118" s="81"/>
      <c r="P118" s="81"/>
      <c r="Q118" s="81"/>
      <c r="R118" s="81"/>
      <c r="S118" s="81"/>
      <c r="T118" s="81"/>
      <c r="U118" s="171"/>
      <c r="V118" s="171"/>
      <c r="W118" s="171"/>
      <c r="X118" s="81"/>
      <c r="Y118" s="81"/>
    </row>
    <row r="119" spans="2:25" ht="12.75">
      <c r="B119" s="81"/>
      <c r="C119" s="81"/>
      <c r="D119" s="81"/>
      <c r="E119" s="81"/>
      <c r="F119" s="81"/>
      <c r="G119" s="171"/>
      <c r="H119" s="171"/>
      <c r="I119" s="171"/>
      <c r="J119" s="81"/>
      <c r="K119" s="81"/>
      <c r="P119" s="81"/>
      <c r="Q119" s="81"/>
      <c r="R119" s="81"/>
      <c r="S119" s="81"/>
      <c r="T119" s="81"/>
      <c r="U119" s="171"/>
      <c r="V119" s="171"/>
      <c r="W119" s="171"/>
      <c r="X119" s="81"/>
      <c r="Y119" s="81"/>
    </row>
    <row r="120" spans="2:25" ht="12.75">
      <c r="B120" s="81"/>
      <c r="C120" s="81"/>
      <c r="D120" s="81"/>
      <c r="E120" s="81"/>
      <c r="F120" s="81"/>
      <c r="G120" s="171"/>
      <c r="H120" s="171"/>
      <c r="I120" s="171"/>
      <c r="J120" s="81"/>
      <c r="K120" s="81"/>
      <c r="P120" s="81"/>
      <c r="Q120" s="81"/>
      <c r="R120" s="81"/>
      <c r="S120" s="81"/>
      <c r="T120" s="81"/>
      <c r="U120" s="171"/>
      <c r="V120" s="171"/>
      <c r="W120" s="171"/>
      <c r="X120" s="81"/>
      <c r="Y120" s="81"/>
    </row>
    <row r="121" spans="2:25" ht="12.75">
      <c r="B121" s="81"/>
      <c r="C121" s="81"/>
      <c r="D121" s="81"/>
      <c r="E121" s="81"/>
      <c r="F121" s="81"/>
      <c r="G121" s="171"/>
      <c r="H121" s="171"/>
      <c r="I121" s="171"/>
      <c r="J121" s="81"/>
      <c r="K121" s="81"/>
      <c r="P121" s="81"/>
      <c r="Q121" s="81"/>
      <c r="R121" s="81"/>
      <c r="S121" s="81"/>
      <c r="T121" s="81"/>
      <c r="U121" s="171"/>
      <c r="V121" s="171"/>
      <c r="W121" s="171"/>
      <c r="X121" s="81"/>
      <c r="Y121" s="81"/>
    </row>
    <row r="122" spans="2:25" ht="12.75">
      <c r="B122" s="81"/>
      <c r="C122" s="81"/>
      <c r="D122" s="81"/>
      <c r="E122" s="81"/>
      <c r="F122" s="81"/>
      <c r="G122" s="171"/>
      <c r="H122" s="171"/>
      <c r="I122" s="171"/>
      <c r="J122" s="81"/>
      <c r="K122" s="81"/>
      <c r="P122" s="81"/>
      <c r="Q122" s="81"/>
      <c r="R122" s="81"/>
      <c r="S122" s="81"/>
      <c r="T122" s="81"/>
      <c r="U122" s="171"/>
      <c r="V122" s="171"/>
      <c r="W122" s="171"/>
      <c r="X122" s="81"/>
      <c r="Y122" s="81"/>
    </row>
    <row r="123" spans="2:25" ht="12.75">
      <c r="B123" s="81"/>
      <c r="C123" s="81"/>
      <c r="D123" s="81"/>
      <c r="E123" s="81"/>
      <c r="F123" s="81"/>
      <c r="G123" s="171"/>
      <c r="H123" s="171"/>
      <c r="I123" s="171"/>
      <c r="J123" s="81"/>
      <c r="K123" s="81"/>
      <c r="P123" s="81"/>
      <c r="Q123" s="81"/>
      <c r="R123" s="81"/>
      <c r="S123" s="81"/>
      <c r="T123" s="81"/>
      <c r="U123" s="171"/>
      <c r="V123" s="171"/>
      <c r="W123" s="171"/>
      <c r="X123" s="81"/>
      <c r="Y123" s="81"/>
    </row>
    <row r="124" spans="2:25" ht="12.75">
      <c r="B124" s="81"/>
      <c r="C124" s="81"/>
      <c r="D124" s="81"/>
      <c r="E124" s="81"/>
      <c r="F124" s="81"/>
      <c r="G124" s="171"/>
      <c r="H124" s="171"/>
      <c r="I124" s="171"/>
      <c r="J124" s="81"/>
      <c r="K124" s="81"/>
      <c r="P124" s="81"/>
      <c r="Q124" s="81"/>
      <c r="R124" s="81"/>
      <c r="S124" s="81"/>
      <c r="T124" s="81"/>
      <c r="U124" s="171"/>
      <c r="V124" s="171"/>
      <c r="W124" s="171"/>
      <c r="X124" s="81"/>
      <c r="Y124" s="81"/>
    </row>
    <row r="125" spans="2:25" ht="12.75">
      <c r="B125" s="81"/>
      <c r="C125" s="81"/>
      <c r="D125" s="81"/>
      <c r="E125" s="81"/>
      <c r="F125" s="81"/>
      <c r="G125" s="171"/>
      <c r="H125" s="171"/>
      <c r="I125" s="171"/>
      <c r="J125" s="81"/>
      <c r="K125" s="81"/>
      <c r="P125" s="81"/>
      <c r="Q125" s="81"/>
      <c r="R125" s="81"/>
      <c r="S125" s="81"/>
      <c r="T125" s="81"/>
      <c r="U125" s="171"/>
      <c r="V125" s="171"/>
      <c r="W125" s="171"/>
      <c r="X125" s="81"/>
      <c r="Y125" s="81"/>
    </row>
    <row r="126" spans="2:25" ht="12.75">
      <c r="B126" s="81"/>
      <c r="C126" s="81"/>
      <c r="D126" s="81"/>
      <c r="E126" s="81"/>
      <c r="F126" s="81"/>
      <c r="G126" s="171"/>
      <c r="H126" s="171"/>
      <c r="I126" s="171"/>
      <c r="J126" s="81"/>
      <c r="K126" s="81"/>
      <c r="P126" s="81"/>
      <c r="Q126" s="81"/>
      <c r="R126" s="81"/>
      <c r="S126" s="81"/>
      <c r="T126" s="81"/>
      <c r="U126" s="171"/>
      <c r="V126" s="171"/>
      <c r="W126" s="171"/>
      <c r="X126" s="81"/>
      <c r="Y126" s="81"/>
    </row>
    <row r="127" spans="2:25" ht="12.75">
      <c r="B127" s="81"/>
      <c r="C127" s="81"/>
      <c r="D127" s="81"/>
      <c r="E127" s="81"/>
      <c r="F127" s="81"/>
      <c r="G127" s="171"/>
      <c r="H127" s="171"/>
      <c r="I127" s="171"/>
      <c r="J127" s="81"/>
      <c r="K127" s="81"/>
      <c r="P127" s="81"/>
      <c r="Q127" s="81"/>
      <c r="R127" s="81"/>
      <c r="S127" s="81"/>
      <c r="T127" s="81"/>
      <c r="U127" s="171"/>
      <c r="V127" s="171"/>
      <c r="W127" s="171"/>
      <c r="X127" s="81"/>
      <c r="Y127" s="81"/>
    </row>
    <row r="128" spans="2:25" ht="12.75">
      <c r="B128" s="81"/>
      <c r="C128" s="81"/>
      <c r="D128" s="81"/>
      <c r="E128" s="81"/>
      <c r="F128" s="81"/>
      <c r="G128" s="171"/>
      <c r="H128" s="171"/>
      <c r="I128" s="171"/>
      <c r="J128" s="81"/>
      <c r="K128" s="81"/>
      <c r="P128" s="81"/>
      <c r="Q128" s="81"/>
      <c r="R128" s="81"/>
      <c r="S128" s="81"/>
      <c r="T128" s="81"/>
      <c r="U128" s="171"/>
      <c r="V128" s="171"/>
      <c r="W128" s="171"/>
      <c r="X128" s="81"/>
      <c r="Y128" s="81"/>
    </row>
    <row r="129" spans="2:25" ht="12.75">
      <c r="B129" s="81"/>
      <c r="C129" s="81"/>
      <c r="D129" s="81"/>
      <c r="E129" s="81"/>
      <c r="F129" s="81"/>
      <c r="G129" s="171"/>
      <c r="H129" s="171"/>
      <c r="I129" s="171"/>
      <c r="J129" s="81"/>
      <c r="K129" s="81"/>
      <c r="P129" s="81"/>
      <c r="Q129" s="81"/>
      <c r="R129" s="81"/>
      <c r="S129" s="81"/>
      <c r="T129" s="81"/>
      <c r="U129" s="171"/>
      <c r="V129" s="171"/>
      <c r="W129" s="171"/>
      <c r="X129" s="81"/>
      <c r="Y129" s="81"/>
    </row>
  </sheetData>
  <sheetProtection/>
  <mergeCells count="23">
    <mergeCell ref="X4:Y4"/>
    <mergeCell ref="X5:Y5"/>
    <mergeCell ref="B4:C4"/>
    <mergeCell ref="S5:W5"/>
    <mergeCell ref="S4:W4"/>
    <mergeCell ref="R50:V50"/>
    <mergeCell ref="P4:Q4"/>
    <mergeCell ref="B5:C5"/>
    <mergeCell ref="B6:C6"/>
    <mergeCell ref="E4:I4"/>
    <mergeCell ref="D55:I57"/>
    <mergeCell ref="I6:J6"/>
    <mergeCell ref="R51:V51"/>
    <mergeCell ref="R55:W57"/>
    <mergeCell ref="W50:W51"/>
    <mergeCell ref="I50:I51"/>
    <mergeCell ref="D51:H51"/>
    <mergeCell ref="J4:K4"/>
    <mergeCell ref="E5:I5"/>
    <mergeCell ref="J5:K5"/>
    <mergeCell ref="D50:H50"/>
    <mergeCell ref="P5:Q5"/>
    <mergeCell ref="P6:Q6"/>
  </mergeCells>
  <printOptions horizontalCentered="1"/>
  <pageMargins left="0.31496062992125984" right="0.2755905511811024" top="0.4330708661417323" bottom="0.35433070866141736" header="0.24" footer="0.23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T137"/>
  <sheetViews>
    <sheetView showZeros="0" zoomScalePageLayoutView="0" workbookViewId="0" topLeftCell="J1">
      <pane xSplit="23190" topLeftCell="BF1" activePane="topLeft" state="split"/>
      <selection pane="topLeft" activeCell="A5" sqref="A5:B7"/>
      <selection pane="topRight" activeCell="EB5" sqref="EB5"/>
    </sheetView>
  </sheetViews>
  <sheetFormatPr defaultColWidth="9.140625" defaultRowHeight="12.75"/>
  <cols>
    <col min="1" max="1" width="11.00390625" style="31" hidden="1" customWidth="1"/>
    <col min="2" max="2" width="9.57421875" style="31" hidden="1" customWidth="1"/>
    <col min="3" max="3" width="6.28125" style="31" customWidth="1"/>
    <col min="4" max="4" width="16.140625" style="31" customWidth="1"/>
    <col min="5" max="5" width="17.7109375" style="31" customWidth="1"/>
    <col min="6" max="6" width="16.57421875" style="31" customWidth="1"/>
    <col min="7" max="7" width="3.421875" style="77" customWidth="1"/>
    <col min="8" max="8" width="10.00390625" style="31" hidden="1" customWidth="1"/>
    <col min="9" max="9" width="0" style="31" hidden="1" customWidth="1"/>
    <col min="10" max="10" width="2.57421875" style="31" customWidth="1"/>
    <col min="11" max="11" width="12.7109375" style="31" customWidth="1"/>
    <col min="12" max="12" width="12.8515625" style="31" customWidth="1"/>
    <col min="13" max="13" width="11.421875" style="31" customWidth="1"/>
    <col min="14" max="14" width="17.8515625" style="79" customWidth="1"/>
    <col min="15" max="15" width="11.28125" style="31" customWidth="1"/>
    <col min="16" max="17" width="12.7109375" style="31" customWidth="1"/>
    <col min="18" max="18" width="11.28125" style="31" customWidth="1"/>
    <col min="19" max="19" width="10.00390625" style="31" hidden="1" customWidth="1"/>
    <col min="20" max="20" width="0" style="31" hidden="1" customWidth="1"/>
    <col min="21" max="21" width="1.57421875" style="31" customWidth="1"/>
    <col min="22" max="22" width="10.7109375" style="31" customWidth="1"/>
    <col min="23" max="23" width="10.28125" style="31" customWidth="1"/>
    <col min="24" max="24" width="10.8515625" style="31" customWidth="1"/>
    <col min="25" max="25" width="21.57421875" style="31" customWidth="1"/>
    <col min="26" max="26" width="10.28125" style="31" customWidth="1"/>
    <col min="27" max="29" width="10.7109375" style="31" customWidth="1"/>
    <col min="30" max="30" width="10.00390625" style="31" hidden="1" customWidth="1"/>
    <col min="31" max="31" width="10.421875" style="31" hidden="1" customWidth="1"/>
    <col min="32" max="32" width="2.28125" style="31" customWidth="1"/>
    <col min="33" max="33" width="10.7109375" style="31" customWidth="1"/>
    <col min="34" max="34" width="7.00390625" style="31" customWidth="1"/>
    <col min="35" max="35" width="10.7109375" style="31" customWidth="1"/>
    <col min="36" max="36" width="43.28125" style="31" customWidth="1"/>
    <col min="37" max="37" width="10.7109375" style="31" customWidth="1"/>
    <col min="38" max="38" width="9.140625" style="31" customWidth="1"/>
    <col min="39" max="39" width="10.7109375" style="31" customWidth="1"/>
    <col min="40" max="40" width="11.57421875" style="31" customWidth="1"/>
    <col min="41" max="41" width="10.00390625" style="31" hidden="1" customWidth="1"/>
    <col min="42" max="42" width="0" style="31" hidden="1" customWidth="1"/>
    <col min="43" max="43" width="2.140625" style="31" customWidth="1"/>
    <col min="44" max="44" width="6.421875" style="31" customWidth="1"/>
    <col min="45" max="45" width="9.7109375" style="79" customWidth="1"/>
    <col min="46" max="46" width="19.421875" style="31" customWidth="1"/>
    <col min="47" max="47" width="10.00390625" style="31" customWidth="1"/>
    <col min="48" max="48" width="6.28125" style="31" customWidth="1"/>
    <col min="49" max="49" width="9.7109375" style="79" customWidth="1"/>
    <col min="50" max="50" width="19.421875" style="31" customWidth="1"/>
    <col min="51" max="51" width="10.140625" style="31" customWidth="1"/>
    <col min="52" max="52" width="6.57421875" style="31" customWidth="1"/>
    <col min="53" max="53" width="6.140625" style="31" customWidth="1"/>
    <col min="54" max="54" width="13.140625" style="31" customWidth="1"/>
    <col min="55" max="55" width="9.7109375" style="31" customWidth="1"/>
    <col min="56" max="56" width="19.28125" style="79" customWidth="1"/>
    <col min="57" max="57" width="10.57421875" style="31" customWidth="1"/>
    <col min="58" max="58" width="17.8515625" style="31" customWidth="1"/>
    <col min="59" max="59" width="2.57421875" style="31" customWidth="1"/>
    <col min="60" max="60" width="6.140625" style="31" customWidth="1"/>
    <col min="61" max="61" width="13.140625" style="31" customWidth="1"/>
    <col min="62" max="62" width="9.7109375" style="31" customWidth="1"/>
    <col min="63" max="63" width="16.28125" style="31" customWidth="1"/>
    <col min="64" max="65" width="10.57421875" style="31" customWidth="1"/>
    <col min="66" max="66" width="17.8515625" style="31" customWidth="1"/>
    <col min="67" max="67" width="10.7109375" style="31" customWidth="1"/>
    <col min="68" max="68" width="7.140625" style="31" hidden="1" customWidth="1"/>
    <col min="69" max="69" width="9.7109375" style="31" hidden="1" customWidth="1"/>
    <col min="70" max="70" width="24.57421875" style="31" hidden="1" customWidth="1"/>
    <col min="71" max="71" width="9.7109375" style="31" hidden="1" customWidth="1"/>
    <col min="72" max="72" width="6.28125" style="31" hidden="1" customWidth="1"/>
    <col min="73" max="73" width="9.7109375" style="31" hidden="1" customWidth="1"/>
    <col min="74" max="74" width="21.7109375" style="31" hidden="1" customWidth="1"/>
    <col min="75" max="75" width="9.7109375" style="31" hidden="1" customWidth="1"/>
    <col min="76" max="76" width="7.140625" style="31" hidden="1" customWidth="1"/>
    <col min="77" max="78" width="10.00390625" style="31" hidden="1" customWidth="1"/>
    <col min="79" max="79" width="10.421875" style="31" hidden="1" customWidth="1"/>
    <col min="80" max="80" width="2.28125" style="31" customWidth="1"/>
    <col min="81" max="81" width="6.7109375" style="31" customWidth="1"/>
    <col min="82" max="82" width="10.57421875" style="31" customWidth="1"/>
    <col min="83" max="83" width="11.00390625" style="31" customWidth="1"/>
    <col min="84" max="84" width="10.140625" style="31" customWidth="1"/>
    <col min="85" max="85" width="8.140625" style="31" customWidth="1"/>
    <col min="86" max="87" width="10.28125" style="31" customWidth="1"/>
    <col min="88" max="88" width="11.57421875" style="31" customWidth="1"/>
    <col min="89" max="90" width="7.421875" style="31" customWidth="1"/>
    <col min="91" max="91" width="6.7109375" style="31" customWidth="1"/>
    <col min="92" max="92" width="10.57421875" style="31" customWidth="1"/>
    <col min="93" max="93" width="5.421875" style="31" customWidth="1"/>
    <col min="94" max="95" width="17.8515625" style="31" customWidth="1"/>
    <col min="96" max="96" width="4.8515625" style="31" customWidth="1"/>
    <col min="97" max="97" width="10.28125" style="31" customWidth="1"/>
    <col min="98" max="98" width="7.421875" style="31" customWidth="1"/>
    <col min="99" max="99" width="10.00390625" style="31" hidden="1" customWidth="1"/>
    <col min="100" max="100" width="10.421875" style="31" hidden="1" customWidth="1"/>
    <col min="101" max="101" width="7.421875" style="31" customWidth="1"/>
    <col min="102" max="111" width="10.7109375" style="31" customWidth="1"/>
    <col min="112" max="112" width="10.00390625" style="31" hidden="1" customWidth="1"/>
    <col min="113" max="113" width="9.140625" style="31" hidden="1" customWidth="1"/>
    <col min="114" max="114" width="9.421875" style="31" hidden="1" customWidth="1"/>
    <col min="115" max="115" width="6.421875" style="31" customWidth="1"/>
    <col min="116" max="116" width="9.28125" style="79" customWidth="1"/>
    <col min="117" max="117" width="16.57421875" style="31" customWidth="1"/>
    <col min="118" max="118" width="9.7109375" style="31" customWidth="1"/>
    <col min="119" max="119" width="7.28125" style="31" customWidth="1"/>
    <col min="120" max="120" width="9.28125" style="79" customWidth="1"/>
    <col min="121" max="121" width="16.57421875" style="31" customWidth="1"/>
    <col min="122" max="122" width="14.8515625" style="31" customWidth="1"/>
    <col min="123" max="123" width="6.140625" style="31" customWidth="1"/>
    <col min="124" max="124" width="12.140625" style="31" customWidth="1"/>
    <col min="125" max="125" width="10.00390625" style="31" hidden="1" customWidth="1"/>
    <col min="126" max="126" width="9.140625" style="31" hidden="1" customWidth="1"/>
    <col min="127" max="127" width="2.140625" style="31" customWidth="1"/>
    <col min="128" max="128" width="6.421875" style="31" customWidth="1"/>
    <col min="129" max="129" width="9.57421875" style="79" customWidth="1"/>
    <col min="130" max="130" width="15.421875" style="31" customWidth="1"/>
    <col min="131" max="131" width="15.28125" style="31" customWidth="1"/>
    <col min="132" max="132" width="7.7109375" style="31" customWidth="1"/>
    <col min="133" max="133" width="9.57421875" style="79" customWidth="1"/>
    <col min="134" max="134" width="15.8515625" style="31" customWidth="1"/>
    <col min="135" max="135" width="10.7109375" style="31" customWidth="1"/>
    <col min="136" max="136" width="6.421875" style="31" customWidth="1"/>
    <col min="137" max="137" width="9.8515625" style="31" customWidth="1"/>
    <col min="138" max="138" width="10.00390625" style="31" hidden="1" customWidth="1"/>
    <col min="139" max="139" width="0" style="31" hidden="1" customWidth="1"/>
    <col min="140" max="140" width="2.28125" style="31" customWidth="1"/>
    <col min="141" max="141" width="6.28125" style="31" customWidth="1"/>
    <col min="142" max="142" width="8.140625" style="79" customWidth="1"/>
    <col min="143" max="143" width="10.57421875" style="79" customWidth="1"/>
    <col min="144" max="144" width="9.7109375" style="79" customWidth="1"/>
    <col min="145" max="145" width="8.00390625" style="79" customWidth="1"/>
    <col min="146" max="146" width="6.7109375" style="215" customWidth="1"/>
    <col min="147" max="147" width="29.8515625" style="172" customWidth="1"/>
    <col min="148" max="148" width="10.57421875" style="31" customWidth="1"/>
    <col min="149" max="149" width="6.421875" style="31" customWidth="1"/>
    <col min="150" max="150" width="10.7109375" style="31" customWidth="1"/>
    <col min="151" max="151" width="7.00390625" style="31" customWidth="1"/>
    <col min="152" max="152" width="8.00390625" style="31" customWidth="1"/>
    <col min="153" max="153" width="8.28125" style="31" customWidth="1"/>
    <col min="154" max="154" width="23.00390625" style="31" customWidth="1"/>
    <col min="155" max="155" width="7.8515625" style="31" customWidth="1"/>
    <col min="156" max="156" width="7.28125" style="310" customWidth="1"/>
    <col min="157" max="157" width="11.28125" style="31" customWidth="1"/>
    <col min="158" max="158" width="8.57421875" style="31" customWidth="1"/>
    <col min="159" max="159" width="10.00390625" style="31" customWidth="1"/>
    <col min="160" max="161" width="12.140625" style="31" hidden="1" customWidth="1"/>
    <col min="162" max="162" width="5.7109375" style="31" customWidth="1"/>
    <col min="163" max="163" width="14.140625" style="31" customWidth="1"/>
    <col min="164" max="164" width="10.8515625" style="79" customWidth="1"/>
    <col min="165" max="165" width="30.57421875" style="31" customWidth="1"/>
    <col min="166" max="166" width="10.8515625" style="31" customWidth="1"/>
    <col min="167" max="167" width="14.28125" style="31" customWidth="1"/>
    <col min="168" max="168" width="3.140625" style="31" customWidth="1"/>
    <col min="169" max="169" width="7.140625" style="31" customWidth="1"/>
    <col min="170" max="170" width="6.00390625" style="31" customWidth="1"/>
    <col min="171" max="172" width="11.7109375" style="31" customWidth="1"/>
    <col min="173" max="173" width="3.140625" style="31" customWidth="1"/>
    <col min="174" max="174" width="11.7109375" style="79" customWidth="1"/>
    <col min="175" max="175" width="11.7109375" style="31" customWidth="1"/>
    <col min="176" max="176" width="3.140625" style="31" customWidth="1"/>
    <col min="177" max="177" width="11.7109375" style="31" customWidth="1"/>
    <col min="178" max="178" width="13.140625" style="31" customWidth="1"/>
    <col min="179" max="179" width="6.140625" style="31" customWidth="1"/>
    <col min="180" max="180" width="2.421875" style="31" customWidth="1"/>
    <col min="181" max="16384" width="9.140625" style="31" customWidth="1"/>
  </cols>
  <sheetData>
    <row r="1" spans="101:111" ht="12"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</row>
    <row r="2" spans="11:202" ht="15">
      <c r="K2" s="117"/>
      <c r="L2" s="118"/>
      <c r="M2" s="118"/>
      <c r="N2" s="147"/>
      <c r="O2" s="118"/>
      <c r="P2" s="118"/>
      <c r="Q2" s="119"/>
      <c r="V2" s="117"/>
      <c r="W2" s="118"/>
      <c r="X2" s="118"/>
      <c r="Y2" s="118"/>
      <c r="Z2" s="118"/>
      <c r="AA2" s="118"/>
      <c r="AB2" s="119"/>
      <c r="AG2" s="117"/>
      <c r="AH2" s="118"/>
      <c r="AI2" s="118"/>
      <c r="AJ2" s="118"/>
      <c r="AK2" s="118" t="s">
        <v>1079</v>
      </c>
      <c r="AL2" s="118"/>
      <c r="AM2" s="119"/>
      <c r="AR2" s="117"/>
      <c r="AS2" s="147"/>
      <c r="AT2" s="118"/>
      <c r="AU2" s="118"/>
      <c r="AV2" s="118"/>
      <c r="AW2" s="147"/>
      <c r="AX2" s="118"/>
      <c r="AY2" s="118"/>
      <c r="AZ2" s="119"/>
      <c r="BB2" s="162"/>
      <c r="BC2" s="163"/>
      <c r="BD2" s="220"/>
      <c r="BE2" s="163"/>
      <c r="BF2" s="164"/>
      <c r="BI2" s="117"/>
      <c r="BJ2" s="118"/>
      <c r="BK2" s="118"/>
      <c r="BL2" s="118"/>
      <c r="BM2" s="118"/>
      <c r="BN2" s="119"/>
      <c r="BP2" s="117"/>
      <c r="BQ2" s="118"/>
      <c r="BR2" s="118"/>
      <c r="BS2" s="118"/>
      <c r="BT2" s="118"/>
      <c r="BU2" s="118"/>
      <c r="BV2" s="118"/>
      <c r="BW2" s="118"/>
      <c r="BX2" s="119"/>
      <c r="CB2" s="29"/>
      <c r="CC2" s="162"/>
      <c r="CD2" s="163"/>
      <c r="CE2" s="163"/>
      <c r="CF2" s="163"/>
      <c r="CG2" s="163"/>
      <c r="CH2" s="163"/>
      <c r="CI2" s="163"/>
      <c r="CJ2" s="163"/>
      <c r="CK2" s="164"/>
      <c r="CL2" s="434"/>
      <c r="CM2" s="162"/>
      <c r="CN2" s="163"/>
      <c r="CO2" s="163"/>
      <c r="CP2" s="163"/>
      <c r="CQ2" s="163"/>
      <c r="CR2" s="163"/>
      <c r="CS2" s="163"/>
      <c r="CT2" s="164"/>
      <c r="CW2" s="410"/>
      <c r="CX2" s="411"/>
      <c r="CY2" s="412"/>
      <c r="CZ2" s="412"/>
      <c r="DA2" s="412"/>
      <c r="DB2" s="412"/>
      <c r="DC2" s="412"/>
      <c r="DD2" s="412"/>
      <c r="DE2" s="412"/>
      <c r="DF2" s="413"/>
      <c r="DG2" s="964"/>
      <c r="DK2" s="117"/>
      <c r="DL2" s="147"/>
      <c r="DM2" s="118"/>
      <c r="DN2" s="118"/>
      <c r="DO2" s="118"/>
      <c r="DP2" s="147"/>
      <c r="DQ2" s="118"/>
      <c r="DR2" s="118"/>
      <c r="DS2" s="119"/>
      <c r="DX2" s="117"/>
      <c r="DY2" s="147"/>
      <c r="DZ2" s="118"/>
      <c r="EA2" s="118"/>
      <c r="EB2" s="118"/>
      <c r="EC2" s="147"/>
      <c r="ED2" s="118"/>
      <c r="EE2" s="118"/>
      <c r="EF2" s="119"/>
      <c r="EK2" s="117"/>
      <c r="EL2" s="147"/>
      <c r="EM2" s="147"/>
      <c r="EN2" s="147"/>
      <c r="EO2" s="147"/>
      <c r="EP2" s="212"/>
      <c r="EQ2" s="176"/>
      <c r="ER2" s="118"/>
      <c r="ES2" s="119"/>
      <c r="EU2" s="117"/>
      <c r="EV2" s="118"/>
      <c r="EW2" s="118"/>
      <c r="EX2" s="118"/>
      <c r="EY2" s="118"/>
      <c r="EZ2" s="311"/>
      <c r="FA2" s="118"/>
      <c r="FB2" s="119"/>
      <c r="FG2" s="117"/>
      <c r="FH2" s="147"/>
      <c r="FI2" s="118"/>
      <c r="FJ2" s="118"/>
      <c r="FK2" s="119"/>
      <c r="FN2" s="117"/>
      <c r="FO2" s="118" t="s">
        <v>277</v>
      </c>
      <c r="FP2" s="118"/>
      <c r="FQ2" s="118"/>
      <c r="FR2" s="147"/>
      <c r="FS2" s="118"/>
      <c r="FT2" s="118"/>
      <c r="FU2" s="118"/>
      <c r="FV2" s="118"/>
      <c r="FW2" s="119" t="s">
        <v>277</v>
      </c>
      <c r="FY2" s="81"/>
      <c r="FZ2" s="81"/>
      <c r="GA2" s="81"/>
      <c r="GB2" s="81"/>
      <c r="GC2" s="81"/>
      <c r="GD2" s="81"/>
      <c r="GE2" s="81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T2" s="80"/>
    </row>
    <row r="3" spans="1:188" ht="15">
      <c r="A3" s="29"/>
      <c r="B3" s="29"/>
      <c r="C3" s="29"/>
      <c r="D3" s="29"/>
      <c r="E3" s="29"/>
      <c r="F3" s="29"/>
      <c r="K3" s="1216" t="s">
        <v>274</v>
      </c>
      <c r="L3" s="1193"/>
      <c r="M3" s="1193" t="s">
        <v>1334</v>
      </c>
      <c r="N3" s="1193"/>
      <c r="O3" s="1193"/>
      <c r="P3" s="1193" t="s">
        <v>1080</v>
      </c>
      <c r="Q3" s="1214"/>
      <c r="V3" s="1216" t="s">
        <v>1320</v>
      </c>
      <c r="W3" s="1193"/>
      <c r="X3" s="1193" t="s">
        <v>1341</v>
      </c>
      <c r="Y3" s="1193"/>
      <c r="Z3" s="1193"/>
      <c r="AA3" s="1193" t="s">
        <v>1080</v>
      </c>
      <c r="AB3" s="1214"/>
      <c r="AG3" s="1216" t="s">
        <v>274</v>
      </c>
      <c r="AH3" s="1193"/>
      <c r="AI3" s="1193"/>
      <c r="AJ3" s="90" t="s">
        <v>224</v>
      </c>
      <c r="AK3" s="1193" t="s">
        <v>1080</v>
      </c>
      <c r="AL3" s="1193"/>
      <c r="AM3" s="1214"/>
      <c r="AR3" s="1216" t="s">
        <v>274</v>
      </c>
      <c r="AS3" s="1193"/>
      <c r="AT3" s="1193" t="s">
        <v>1236</v>
      </c>
      <c r="AU3" s="1193"/>
      <c r="AV3" s="1193"/>
      <c r="AW3" s="1193"/>
      <c r="AX3" s="1193"/>
      <c r="AY3" s="1193" t="s">
        <v>1080</v>
      </c>
      <c r="AZ3" s="1214"/>
      <c r="BB3" s="217" t="s">
        <v>274</v>
      </c>
      <c r="BC3" s="1223" t="s">
        <v>412</v>
      </c>
      <c r="BD3" s="1223"/>
      <c r="BE3" s="1223"/>
      <c r="BF3" s="783" t="s">
        <v>886</v>
      </c>
      <c r="BI3" s="1216" t="s">
        <v>274</v>
      </c>
      <c r="BJ3" s="1193"/>
      <c r="BK3" s="121" t="s">
        <v>887</v>
      </c>
      <c r="BL3" s="121"/>
      <c r="BM3" s="121"/>
      <c r="BN3" s="178" t="s">
        <v>886</v>
      </c>
      <c r="BP3" s="1216" t="s">
        <v>274</v>
      </c>
      <c r="BQ3" s="1193"/>
      <c r="BR3" s="1193" t="s">
        <v>888</v>
      </c>
      <c r="BS3" s="1193"/>
      <c r="BT3" s="1193"/>
      <c r="BU3" s="1193"/>
      <c r="BV3" s="1193"/>
      <c r="BW3" s="1193" t="s">
        <v>886</v>
      </c>
      <c r="BX3" s="1214"/>
      <c r="CB3" s="29"/>
      <c r="CC3" s="1280" t="s">
        <v>274</v>
      </c>
      <c r="CD3" s="1223"/>
      <c r="CE3" s="1223" t="s">
        <v>890</v>
      </c>
      <c r="CF3" s="1223"/>
      <c r="CG3" s="1223"/>
      <c r="CH3" s="1223"/>
      <c r="CI3" s="1223"/>
      <c r="CJ3" s="1223" t="s">
        <v>886</v>
      </c>
      <c r="CK3" s="1263"/>
      <c r="CL3" s="435"/>
      <c r="CM3" s="1280" t="s">
        <v>274</v>
      </c>
      <c r="CN3" s="1223"/>
      <c r="CO3" s="1223" t="s">
        <v>537</v>
      </c>
      <c r="CP3" s="1223"/>
      <c r="CQ3" s="1223"/>
      <c r="CR3" s="1223"/>
      <c r="CS3" s="1223" t="s">
        <v>886</v>
      </c>
      <c r="CT3" s="1263"/>
      <c r="CW3" s="414"/>
      <c r="CX3" s="1366" t="s">
        <v>274</v>
      </c>
      <c r="CY3" s="1362"/>
      <c r="CZ3" s="1362" t="s">
        <v>534</v>
      </c>
      <c r="DA3" s="1362"/>
      <c r="DB3" s="1362"/>
      <c r="DC3" s="1362"/>
      <c r="DD3" s="1362"/>
      <c r="DE3" s="1362" t="s">
        <v>886</v>
      </c>
      <c r="DF3" s="1363"/>
      <c r="DG3" s="415"/>
      <c r="DK3" s="1216" t="s">
        <v>274</v>
      </c>
      <c r="DL3" s="1193"/>
      <c r="DM3" s="1193" t="s">
        <v>918</v>
      </c>
      <c r="DN3" s="1193"/>
      <c r="DO3" s="1193"/>
      <c r="DP3" s="1193"/>
      <c r="DQ3" s="1193"/>
      <c r="DR3" s="1193" t="s">
        <v>886</v>
      </c>
      <c r="DS3" s="1214"/>
      <c r="DX3" s="1216" t="s">
        <v>274</v>
      </c>
      <c r="DY3" s="1193"/>
      <c r="DZ3" s="1193" t="s">
        <v>919</v>
      </c>
      <c r="EA3" s="1193"/>
      <c r="EB3" s="1193"/>
      <c r="EC3" s="1193"/>
      <c r="ED3" s="1193"/>
      <c r="EE3" s="1193" t="s">
        <v>886</v>
      </c>
      <c r="EF3" s="1214"/>
      <c r="EK3" s="1216" t="s">
        <v>314</v>
      </c>
      <c r="EL3" s="1193"/>
      <c r="EM3" s="1253" t="s">
        <v>791</v>
      </c>
      <c r="EN3" s="1253"/>
      <c r="EO3" s="1253"/>
      <c r="EP3" s="1253"/>
      <c r="EQ3" s="1253"/>
      <c r="ER3" s="1193" t="s">
        <v>886</v>
      </c>
      <c r="ES3" s="1214"/>
      <c r="EU3" s="1216" t="s">
        <v>274</v>
      </c>
      <c r="EV3" s="1193"/>
      <c r="EW3" s="1253" t="s">
        <v>686</v>
      </c>
      <c r="EX3" s="1253"/>
      <c r="EY3" s="1253"/>
      <c r="EZ3" s="1253"/>
      <c r="FA3" s="1193" t="s">
        <v>886</v>
      </c>
      <c r="FB3" s="1214"/>
      <c r="FG3" s="1216" t="s">
        <v>274</v>
      </c>
      <c r="FH3" s="1193"/>
      <c r="FI3" s="90" t="s">
        <v>1355</v>
      </c>
      <c r="FJ3" s="1193" t="s">
        <v>886</v>
      </c>
      <c r="FK3" s="1214"/>
      <c r="FN3" s="120"/>
      <c r="FO3" s="1193" t="s">
        <v>638</v>
      </c>
      <c r="FP3" s="1193"/>
      <c r="FQ3" s="1193"/>
      <c r="FR3" s="1193"/>
      <c r="FS3" s="1193"/>
      <c r="FT3" s="1193"/>
      <c r="FU3" s="1193"/>
      <c r="FV3" s="1193"/>
      <c r="FW3" s="178"/>
      <c r="FY3" s="81"/>
      <c r="FZ3" s="81"/>
      <c r="GA3" s="81"/>
      <c r="GB3" s="81"/>
      <c r="GC3" s="81"/>
      <c r="GD3" s="81"/>
      <c r="GE3" s="81"/>
      <c r="GF3" s="69"/>
    </row>
    <row r="4" spans="1:188" ht="15.75" thickBot="1">
      <c r="A4" s="55"/>
      <c r="B4" s="55"/>
      <c r="C4" s="55"/>
      <c r="D4" s="1288" t="s">
        <v>486</v>
      </c>
      <c r="E4" s="1289"/>
      <c r="F4" s="55"/>
      <c r="G4" s="1281"/>
      <c r="K4" s="1218"/>
      <c r="L4" s="1219"/>
      <c r="M4" s="1193" t="s">
        <v>1335</v>
      </c>
      <c r="N4" s="1193"/>
      <c r="O4" s="1193"/>
      <c r="P4" s="1194">
        <f>VLOOKUP("TV MAGIST Q UNICO 01 20H",RHE,5,FALSE)</f>
        <v>41579</v>
      </c>
      <c r="Q4" s="1195"/>
      <c r="V4" s="120"/>
      <c r="W4" s="121"/>
      <c r="X4" s="1193" t="s">
        <v>362</v>
      </c>
      <c r="Y4" s="1193"/>
      <c r="Z4" s="1193"/>
      <c r="AA4" s="1264">
        <v>39142</v>
      </c>
      <c r="AB4" s="1265"/>
      <c r="AG4" s="120"/>
      <c r="AH4" s="121"/>
      <c r="AI4" s="121"/>
      <c r="AJ4" s="90" t="s">
        <v>437</v>
      </c>
      <c r="AK4" s="1264">
        <f>MAX(VLOOKUP("TV ESPECIAL DAE 01 40H",RHE,5,FALSE),VLOOKUP("TV TEC PLANEJAM 01 40H",RHE,5,FALSE))</f>
        <v>41334</v>
      </c>
      <c r="AL4" s="1264"/>
      <c r="AM4" s="1265"/>
      <c r="AR4" s="1269"/>
      <c r="AS4" s="1270"/>
      <c r="AT4" s="1193" t="s">
        <v>1237</v>
      </c>
      <c r="AU4" s="1193"/>
      <c r="AV4" s="1193"/>
      <c r="AW4" s="1193"/>
      <c r="AX4" s="1193"/>
      <c r="AY4" s="1264">
        <f>MAX(VLOOKUP("TV COMISS GERAL 01 40H",RHE,5,FALSE),VLOOKUP("TV COMISS TRIB JUST 01 40H",RHE,5,FALSE),VLOOKUP("TV COMISS PGE/DP 19 40H",RHE,5,FALSE),VLOOKUP("TV COMISS FAZENDA 1 01 40H",RHE,5,FALSE),VLOOKUP("TV COMISS TRIB CONT 01 40H",RHE,5,FALSE),VLOOKUP("TV COMISS TRIB JUST 01 40H",RHE,5,FALSE))</f>
        <v>41548</v>
      </c>
      <c r="AZ4" s="1265"/>
      <c r="BB4" s="165"/>
      <c r="BC4" s="1223" t="s">
        <v>413</v>
      </c>
      <c r="BD4" s="1223"/>
      <c r="BE4" s="1223"/>
      <c r="BF4" s="331">
        <f>VLOOKUP("TV COMISS DEFENS 01 40H",RHE,5,FALSE)</f>
        <v>40238</v>
      </c>
      <c r="BI4" s="120"/>
      <c r="BJ4" s="121"/>
      <c r="BK4" s="121" t="s">
        <v>1237</v>
      </c>
      <c r="BL4" s="121"/>
      <c r="BM4" s="121"/>
      <c r="BN4" s="331">
        <f>TAB14_DATA_VAL</f>
        <v>41548</v>
      </c>
      <c r="BP4" s="120"/>
      <c r="BQ4" s="121"/>
      <c r="BR4" s="1193" t="s">
        <v>889</v>
      </c>
      <c r="BS4" s="1193"/>
      <c r="BT4" s="1193"/>
      <c r="BU4" s="1193"/>
      <c r="BV4" s="1193"/>
      <c r="BW4" s="1194">
        <v>35034</v>
      </c>
      <c r="BX4" s="1195"/>
      <c r="CB4" s="29"/>
      <c r="CC4" s="1269"/>
      <c r="CD4" s="1270"/>
      <c r="CE4" s="1223" t="s">
        <v>893</v>
      </c>
      <c r="CF4" s="1223"/>
      <c r="CG4" s="1223"/>
      <c r="CH4" s="1223"/>
      <c r="CI4" s="1223"/>
      <c r="CJ4" s="1264">
        <f>VLOOKUP("TV MAGIST PL CARR 01 20H",RHE,5,FALSE)</f>
        <v>41579</v>
      </c>
      <c r="CK4" s="1265" t="e">
        <f>VLOOKUP("TV MAGIST PL CARR 19",RHE,10,FALSE)</f>
        <v>#N/A</v>
      </c>
      <c r="CL4" s="436"/>
      <c r="CM4" s="1269"/>
      <c r="CN4" s="1270"/>
      <c r="CO4" s="1223" t="s">
        <v>538</v>
      </c>
      <c r="CP4" s="1223"/>
      <c r="CQ4" s="1223"/>
      <c r="CR4" s="1223"/>
      <c r="CS4" s="1264">
        <f>TAB17_DATA_VAL</f>
        <v>41579</v>
      </c>
      <c r="CT4" s="1265"/>
      <c r="CW4" s="416"/>
      <c r="CX4" s="1367"/>
      <c r="CY4" s="1368"/>
      <c r="CZ4" s="1362" t="s">
        <v>535</v>
      </c>
      <c r="DA4" s="1362"/>
      <c r="DB4" s="1362"/>
      <c r="DC4" s="1362"/>
      <c r="DD4" s="1362"/>
      <c r="DE4" s="1364">
        <f>TAB17_DATA_VAL</f>
        <v>41579</v>
      </c>
      <c r="DF4" s="1365"/>
      <c r="DG4" s="418"/>
      <c r="DK4" s="1269"/>
      <c r="DL4" s="1270"/>
      <c r="DM4" s="1193" t="s">
        <v>916</v>
      </c>
      <c r="DN4" s="1193"/>
      <c r="DO4" s="1193"/>
      <c r="DP4" s="1193"/>
      <c r="DQ4" s="1193"/>
      <c r="DR4" s="1360">
        <f>MAX(VLOOKUP("TV COMISS GERAL 02 40H",RHE,5,FALSE),VLOOKUP("TV COMISS PC/BM 01 40H",RHE,5,FALSE),VLOOKUP("TV COMISS PGE/DP 02 40H",RHE,5,FALSE),VLOOKUP("TV COMISS PGE/DP 02 40H",RHE,5,FALSE),VLOOKUP("TV COMISS GERAL 32 40H",RHE,5,FALSE),VLOOKUP("TV COMISS FAZENDA 1 02 40H",RHE,5,FALSE),VLOOKUP("TV COMISS TRIB CONT 02 40H",RHE,5,FALSE),VLOOKUP("TV COMISS ESP SARH 17 30H",RHE,5,FALSE),VLOOKUP("TV COMISS ASS LEG 01 40H",RHE,5,FALSE))</f>
        <v>41548</v>
      </c>
      <c r="DS4" s="1361">
        <f>VLOOKUP("TV COMISS GERAL 02 40H",RHE,10,FALSE)</f>
        <v>69.9</v>
      </c>
      <c r="DX4" s="1203"/>
      <c r="DY4" s="1174"/>
      <c r="DZ4" s="1193" t="s">
        <v>920</v>
      </c>
      <c r="EA4" s="1193"/>
      <c r="EB4" s="1193"/>
      <c r="EC4" s="1193"/>
      <c r="ED4" s="1193"/>
      <c r="EE4" s="1264">
        <f>MAX(TAB25_DATA_VAL,"01/02/2011")</f>
        <v>41548</v>
      </c>
      <c r="EF4" s="1265"/>
      <c r="EK4" s="120"/>
      <c r="EL4" s="90"/>
      <c r="EM4" s="1253" t="s">
        <v>792</v>
      </c>
      <c r="EN4" s="1253"/>
      <c r="EO4" s="1253"/>
      <c r="EP4" s="1253"/>
      <c r="EQ4" s="1253"/>
      <c r="ER4" s="1194">
        <f>VLOOKUP("TV GD MAG VICE 01 20H",RHE,5,FALSE)</f>
        <v>40238</v>
      </c>
      <c r="ES4" s="1195">
        <f>VLOOKUP("TV GD MAG VICE 01 20H",RHE,10,FALSE)</f>
        <v>134.67</v>
      </c>
      <c r="EU4" s="120"/>
      <c r="EV4" s="121"/>
      <c r="EW4" s="1253" t="s">
        <v>792</v>
      </c>
      <c r="EX4" s="1253"/>
      <c r="EY4" s="1253"/>
      <c r="EZ4" s="1253"/>
      <c r="FA4" s="1194">
        <f>TAB27_DATA_VAL</f>
        <v>40238</v>
      </c>
      <c r="FB4" s="1195"/>
      <c r="FG4" s="120"/>
      <c r="FH4" s="90"/>
      <c r="FI4" s="90" t="s">
        <v>1354</v>
      </c>
      <c r="FJ4" s="1194">
        <f>VLOOKUP("TV COMISS IPERGS 15 40H",RHE,5,FALSE)</f>
        <v>40238</v>
      </c>
      <c r="FK4" s="1195">
        <f>VLOOKUP("TV COMISS IPERGS 15 40H",RHE,10,FALSE)</f>
        <v>499.14</v>
      </c>
      <c r="FN4" s="120"/>
      <c r="FO4" s="1193" t="s">
        <v>639</v>
      </c>
      <c r="FP4" s="1193"/>
      <c r="FQ4" s="1193"/>
      <c r="FR4" s="1193"/>
      <c r="FS4" s="1193"/>
      <c r="FT4" s="1193"/>
      <c r="FU4" s="1193"/>
      <c r="FV4" s="1193"/>
      <c r="FW4" s="178"/>
      <c r="FY4" s="81"/>
      <c r="FZ4" s="81"/>
      <c r="GA4" s="81"/>
      <c r="GB4" s="81"/>
      <c r="GC4" s="81"/>
      <c r="GD4" s="81"/>
      <c r="GE4" s="81"/>
      <c r="GF4" s="69"/>
    </row>
    <row r="5" spans="1:188" ht="15">
      <c r="A5" s="62" t="s">
        <v>483</v>
      </c>
      <c r="B5" s="63">
        <f>TAB17_DATA_VAL</f>
        <v>41579</v>
      </c>
      <c r="C5" s="55"/>
      <c r="D5" s="55"/>
      <c r="E5" s="55"/>
      <c r="F5" s="55"/>
      <c r="G5" s="1282"/>
      <c r="K5" s="431"/>
      <c r="L5" s="123"/>
      <c r="M5" s="123"/>
      <c r="N5" s="127"/>
      <c r="O5" s="123"/>
      <c r="P5" s="123"/>
      <c r="Q5" s="128"/>
      <c r="V5" s="122"/>
      <c r="W5" s="121"/>
      <c r="X5" s="127"/>
      <c r="Y5" s="127"/>
      <c r="Z5" s="127"/>
      <c r="AA5" s="127"/>
      <c r="AB5" s="128"/>
      <c r="AG5" s="1356"/>
      <c r="AH5" s="1357"/>
      <c r="AI5" s="1357"/>
      <c r="AJ5" s="127" t="s">
        <v>436</v>
      </c>
      <c r="AK5" s="123"/>
      <c r="AL5" s="123"/>
      <c r="AM5" s="128"/>
      <c r="AR5" s="122"/>
      <c r="AS5" s="584"/>
      <c r="AT5" s="123"/>
      <c r="AU5" s="123"/>
      <c r="AV5" s="123"/>
      <c r="AW5" s="127"/>
      <c r="AX5" s="123"/>
      <c r="AY5" s="127"/>
      <c r="AZ5" s="128"/>
      <c r="BB5" s="167"/>
      <c r="BC5" s="168"/>
      <c r="BD5" s="209"/>
      <c r="BE5" s="168"/>
      <c r="BF5" s="169"/>
      <c r="BI5" s="122"/>
      <c r="BJ5" s="123"/>
      <c r="BK5" s="123"/>
      <c r="BL5" s="123"/>
      <c r="BM5" s="123"/>
      <c r="BN5" s="128"/>
      <c r="BP5" s="122"/>
      <c r="BQ5" s="123"/>
      <c r="BR5" s="123" t="s">
        <v>277</v>
      </c>
      <c r="BS5" s="123"/>
      <c r="BT5" s="123"/>
      <c r="BU5" s="123"/>
      <c r="BV5" s="123"/>
      <c r="BW5" s="123"/>
      <c r="BX5" s="128"/>
      <c r="CB5" s="29"/>
      <c r="CC5" s="431"/>
      <c r="CD5" s="432"/>
      <c r="CE5" s="168"/>
      <c r="CF5" s="168"/>
      <c r="CG5" s="168"/>
      <c r="CH5" s="168"/>
      <c r="CI5" s="168"/>
      <c r="CJ5" s="168"/>
      <c r="CK5" s="169"/>
      <c r="CL5" s="434"/>
      <c r="CM5" s="167"/>
      <c r="CN5" s="168"/>
      <c r="CO5" s="168"/>
      <c r="CP5" s="168"/>
      <c r="CQ5" s="168"/>
      <c r="CR5" s="168"/>
      <c r="CS5" s="168"/>
      <c r="CT5" s="169"/>
      <c r="CW5" s="416"/>
      <c r="CX5" s="431"/>
      <c r="CY5" s="417"/>
      <c r="CZ5" s="415"/>
      <c r="DA5" s="415"/>
      <c r="DB5" s="415"/>
      <c r="DC5" s="415"/>
      <c r="DD5" s="415"/>
      <c r="DE5" s="418"/>
      <c r="DF5" s="419"/>
      <c r="DG5" s="418"/>
      <c r="DK5" s="1271"/>
      <c r="DL5" s="1272"/>
      <c r="DM5" s="1305"/>
      <c r="DN5" s="1305"/>
      <c r="DO5" s="1305"/>
      <c r="DP5" s="1305"/>
      <c r="DQ5" s="1305"/>
      <c r="DR5" s="1306"/>
      <c r="DS5" s="1307"/>
      <c r="DX5" s="122"/>
      <c r="DY5" s="127"/>
      <c r="DZ5" s="123"/>
      <c r="EA5" s="123"/>
      <c r="EB5" s="123"/>
      <c r="EC5" s="127"/>
      <c r="ED5" s="123"/>
      <c r="EE5" s="123"/>
      <c r="EF5" s="128"/>
      <c r="EK5" s="122"/>
      <c r="EL5" s="127"/>
      <c r="EM5" s="127"/>
      <c r="EN5" s="127"/>
      <c r="EO5" s="127"/>
      <c r="EP5" s="213"/>
      <c r="EQ5" s="177"/>
      <c r="ER5" s="123"/>
      <c r="ES5" s="128"/>
      <c r="EU5" s="122"/>
      <c r="EV5" s="123"/>
      <c r="EW5" s="123"/>
      <c r="EX5" s="123"/>
      <c r="EY5" s="123"/>
      <c r="EZ5" s="312"/>
      <c r="FA5" s="123"/>
      <c r="FB5" s="128"/>
      <c r="FG5" s="122"/>
      <c r="FH5" s="127"/>
      <c r="FI5" s="123"/>
      <c r="FJ5" s="123"/>
      <c r="FK5" s="128"/>
      <c r="FN5" s="120"/>
      <c r="FO5" s="1193" t="s">
        <v>186</v>
      </c>
      <c r="FP5" s="1193"/>
      <c r="FQ5" s="1193"/>
      <c r="FR5" s="1193"/>
      <c r="FS5" s="1193"/>
      <c r="FT5" s="1193"/>
      <c r="FU5" s="1193"/>
      <c r="FV5" s="1193"/>
      <c r="FW5" s="181"/>
      <c r="FY5" s="81"/>
      <c r="FZ5" s="81"/>
      <c r="GA5" s="81"/>
      <c r="GB5" s="81"/>
      <c r="GC5" s="81"/>
      <c r="GD5" s="81"/>
      <c r="GE5" s="81"/>
      <c r="GF5" s="69"/>
    </row>
    <row r="6" spans="1:188" ht="15">
      <c r="A6" s="66" t="s">
        <v>484</v>
      </c>
      <c r="B6" s="65">
        <f>E6</f>
        <v>0</v>
      </c>
      <c r="C6" s="29"/>
      <c r="D6" s="799" t="s">
        <v>1340</v>
      </c>
      <c r="E6" s="800">
        <f>PARCAUT_MAG</f>
        <v>0</v>
      </c>
      <c r="F6" s="29"/>
      <c r="K6" s="106"/>
      <c r="L6" s="129"/>
      <c r="M6" s="129"/>
      <c r="N6" s="149"/>
      <c r="O6" s="104"/>
      <c r="P6" s="104"/>
      <c r="Q6" s="107"/>
      <c r="V6" s="106"/>
      <c r="W6" s="129"/>
      <c r="X6" s="104"/>
      <c r="Y6" s="104"/>
      <c r="Z6" s="104"/>
      <c r="AA6" s="104"/>
      <c r="AB6" s="107"/>
      <c r="AG6" s="106"/>
      <c r="AH6" s="129"/>
      <c r="AI6" s="129"/>
      <c r="AJ6" s="104"/>
      <c r="AK6" s="104"/>
      <c r="AL6" s="104"/>
      <c r="AM6" s="107"/>
      <c r="AR6" s="106"/>
      <c r="AS6" s="148"/>
      <c r="AT6" s="104"/>
      <c r="AU6" s="104"/>
      <c r="AV6" s="104"/>
      <c r="AW6" s="149"/>
      <c r="AX6" s="104"/>
      <c r="AY6" s="104"/>
      <c r="AZ6" s="107"/>
      <c r="BB6" s="103"/>
      <c r="BC6" s="104"/>
      <c r="BD6" s="149"/>
      <c r="BE6" s="104"/>
      <c r="BF6" s="105"/>
      <c r="BI6" s="106"/>
      <c r="BJ6" s="129"/>
      <c r="BK6" s="104"/>
      <c r="BL6" s="104"/>
      <c r="BM6" s="104"/>
      <c r="BN6" s="105"/>
      <c r="BP6" s="106"/>
      <c r="BQ6" s="129"/>
      <c r="BR6" s="104"/>
      <c r="BS6" s="104"/>
      <c r="BT6" s="104"/>
      <c r="BU6" s="104"/>
      <c r="BV6" s="104"/>
      <c r="BW6" s="104"/>
      <c r="BX6" s="107"/>
      <c r="CB6" s="29"/>
      <c r="CC6" s="103"/>
      <c r="CD6" s="104"/>
      <c r="CE6" s="104"/>
      <c r="CF6" s="104"/>
      <c r="CG6" s="104"/>
      <c r="CH6" s="104"/>
      <c r="CI6" s="104"/>
      <c r="CJ6" s="104"/>
      <c r="CK6" s="105"/>
      <c r="CL6" s="29"/>
      <c r="CM6" s="103"/>
      <c r="CN6" s="104"/>
      <c r="CO6" s="104"/>
      <c r="CP6" s="104"/>
      <c r="CQ6" s="104"/>
      <c r="CR6" s="104"/>
      <c r="CS6" s="104"/>
      <c r="CT6" s="105"/>
      <c r="CW6" s="416"/>
      <c r="CX6" s="420"/>
      <c r="CY6" s="421"/>
      <c r="CZ6" s="421"/>
      <c r="DA6" s="421"/>
      <c r="DB6" s="421"/>
      <c r="DC6" s="421"/>
      <c r="DD6" s="421"/>
      <c r="DE6" s="421"/>
      <c r="DF6" s="422"/>
      <c r="DG6" s="425"/>
      <c r="DK6" s="103"/>
      <c r="DS6" s="105"/>
      <c r="DX6" s="106"/>
      <c r="DY6" s="148"/>
      <c r="DZ6" s="104"/>
      <c r="EA6" s="104"/>
      <c r="EB6" s="104"/>
      <c r="EC6" s="149"/>
      <c r="ED6" s="104"/>
      <c r="EE6" s="104"/>
      <c r="EF6" s="107"/>
      <c r="EK6" s="106"/>
      <c r="EL6" s="148"/>
      <c r="EM6" s="148"/>
      <c r="EN6" s="148"/>
      <c r="EO6" s="148"/>
      <c r="EP6" s="309"/>
      <c r="EQ6" s="173"/>
      <c r="ER6" s="104"/>
      <c r="ES6" s="107"/>
      <c r="EU6" s="106"/>
      <c r="EV6" s="129"/>
      <c r="EW6" s="129"/>
      <c r="EX6" s="129"/>
      <c r="EY6" s="129"/>
      <c r="EZ6" s="313"/>
      <c r="FA6" s="104"/>
      <c r="FB6" s="107"/>
      <c r="FG6" s="106"/>
      <c r="FH6" s="149"/>
      <c r="FI6" s="104"/>
      <c r="FJ6" s="104"/>
      <c r="FK6" s="107"/>
      <c r="FN6" s="120"/>
      <c r="FO6" s="121"/>
      <c r="FP6" s="121"/>
      <c r="FQ6" s="121"/>
      <c r="FR6" s="90"/>
      <c r="FS6" s="121"/>
      <c r="FT6" s="121"/>
      <c r="FU6" s="121"/>
      <c r="FV6" s="1194">
        <f>MAX(TAB14_DATA_VAL,TAB25_DATA_VAL,TAB30_DATA_VAL)</f>
        <v>41548</v>
      </c>
      <c r="FW6" s="1195"/>
      <c r="FY6" s="81"/>
      <c r="FZ6" s="81"/>
      <c r="GA6" s="81"/>
      <c r="GB6" s="81"/>
      <c r="GC6" s="81"/>
      <c r="GD6" s="81"/>
      <c r="GE6" s="81"/>
      <c r="GF6" s="69"/>
    </row>
    <row r="7" spans="1:188" ht="12.75" customHeight="1" thickBot="1">
      <c r="A7" s="67" t="s">
        <v>485</v>
      </c>
      <c r="B7" s="83">
        <f>E7</f>
        <v>862.8</v>
      </c>
      <c r="C7" s="219"/>
      <c r="D7" s="801" t="s">
        <v>487</v>
      </c>
      <c r="E7" s="802">
        <f>PISO_MAG</f>
        <v>862.8</v>
      </c>
      <c r="F7" s="219"/>
      <c r="K7" s="108"/>
      <c r="L7" s="30"/>
      <c r="M7" s="30"/>
      <c r="N7" s="131"/>
      <c r="O7" s="29"/>
      <c r="P7" s="29"/>
      <c r="Q7" s="109"/>
      <c r="V7" s="108"/>
      <c r="W7" s="30"/>
      <c r="AA7" s="29"/>
      <c r="AB7" s="109"/>
      <c r="AG7" s="108"/>
      <c r="AH7" s="30"/>
      <c r="AI7" s="30"/>
      <c r="AK7" s="29"/>
      <c r="AL7" s="29"/>
      <c r="AM7" s="109"/>
      <c r="AR7" s="108"/>
      <c r="AS7" s="39" t="s">
        <v>721</v>
      </c>
      <c r="AT7" s="39" t="s">
        <v>227</v>
      </c>
      <c r="AU7" s="39" t="s">
        <v>1408</v>
      </c>
      <c r="AV7" s="29"/>
      <c r="AW7" s="39" t="s">
        <v>721</v>
      </c>
      <c r="AX7" s="39" t="s">
        <v>227</v>
      </c>
      <c r="AY7" s="39" t="s">
        <v>1408</v>
      </c>
      <c r="AZ7" s="109"/>
      <c r="BB7" s="70"/>
      <c r="BC7" s="110" t="s">
        <v>721</v>
      </c>
      <c r="BD7" s="110" t="s">
        <v>227</v>
      </c>
      <c r="BE7" s="110" t="s">
        <v>793</v>
      </c>
      <c r="BF7" s="71"/>
      <c r="BI7" s="108"/>
      <c r="BJ7" s="39" t="s">
        <v>721</v>
      </c>
      <c r="BK7" s="39" t="s">
        <v>227</v>
      </c>
      <c r="BL7" s="39" t="s">
        <v>1408</v>
      </c>
      <c r="BM7" s="110" t="s">
        <v>38</v>
      </c>
      <c r="BN7" s="71"/>
      <c r="BP7" s="108"/>
      <c r="BQ7" s="39" t="s">
        <v>721</v>
      </c>
      <c r="BR7" s="39" t="s">
        <v>227</v>
      </c>
      <c r="BS7" s="56" t="s">
        <v>1408</v>
      </c>
      <c r="BT7" s="29"/>
      <c r="BU7" s="39" t="s">
        <v>721</v>
      </c>
      <c r="BV7" s="39" t="s">
        <v>227</v>
      </c>
      <c r="BW7" s="56" t="s">
        <v>1408</v>
      </c>
      <c r="BX7" s="109"/>
      <c r="CB7" s="29"/>
      <c r="CC7" s="70"/>
      <c r="CG7" s="29"/>
      <c r="CK7" s="71"/>
      <c r="CL7" s="29"/>
      <c r="CM7" s="70"/>
      <c r="CN7" s="29"/>
      <c r="CO7" s="29"/>
      <c r="CP7" s="29"/>
      <c r="CQ7" s="29"/>
      <c r="CR7" s="29"/>
      <c r="CS7" s="29"/>
      <c r="CT7" s="71"/>
      <c r="CW7" s="410"/>
      <c r="CX7" s="423"/>
      <c r="CY7" s="409"/>
      <c r="CZ7" s="409"/>
      <c r="DA7" s="409"/>
      <c r="DB7" s="409"/>
      <c r="DC7" s="409"/>
      <c r="DD7" s="409"/>
      <c r="DE7" s="409"/>
      <c r="DF7" s="424"/>
      <c r="DG7" s="425"/>
      <c r="DK7" s="108"/>
      <c r="DL7" s="39" t="s">
        <v>721</v>
      </c>
      <c r="DM7" s="39" t="s">
        <v>227</v>
      </c>
      <c r="DN7" s="56" t="s">
        <v>793</v>
      </c>
      <c r="DO7" s="29"/>
      <c r="DP7" s="39" t="s">
        <v>721</v>
      </c>
      <c r="DQ7" s="39" t="s">
        <v>227</v>
      </c>
      <c r="DR7" s="56" t="s">
        <v>793</v>
      </c>
      <c r="DS7" s="109"/>
      <c r="DX7" s="108"/>
      <c r="EF7" s="109"/>
      <c r="EK7" s="108"/>
      <c r="ES7" s="109"/>
      <c r="EU7" s="108"/>
      <c r="FB7" s="109"/>
      <c r="FG7" s="108"/>
      <c r="FH7" s="131"/>
      <c r="FI7" s="29"/>
      <c r="FJ7" s="29"/>
      <c r="FK7" s="109"/>
      <c r="FN7" s="122"/>
      <c r="FO7" s="123" t="s">
        <v>277</v>
      </c>
      <c r="FP7" s="123" t="s">
        <v>277</v>
      </c>
      <c r="FQ7" s="123"/>
      <c r="FR7" s="127" t="s">
        <v>277</v>
      </c>
      <c r="FS7" s="123" t="s">
        <v>277</v>
      </c>
      <c r="FT7" s="123"/>
      <c r="FU7" s="123" t="s">
        <v>277</v>
      </c>
      <c r="FV7" s="123"/>
      <c r="FW7" s="128"/>
      <c r="FY7" s="81"/>
      <c r="FZ7" s="81"/>
      <c r="GA7" s="81"/>
      <c r="GB7" s="81"/>
      <c r="GC7" s="81"/>
      <c r="GD7" s="81"/>
      <c r="GE7" s="81"/>
      <c r="GF7" s="69"/>
    </row>
    <row r="8" spans="3:188" ht="12">
      <c r="C8" s="87"/>
      <c r="D8" s="87"/>
      <c r="E8" s="87"/>
      <c r="F8" s="87"/>
      <c r="K8" s="108"/>
      <c r="L8" s="30"/>
      <c r="M8" s="30"/>
      <c r="N8" s="131"/>
      <c r="O8" s="29"/>
      <c r="P8" s="29"/>
      <c r="Q8" s="109"/>
      <c r="V8" s="108"/>
      <c r="Z8" s="55"/>
      <c r="AA8" s="271"/>
      <c r="AB8" s="109"/>
      <c r="AG8" s="108"/>
      <c r="AH8" s="30"/>
      <c r="AI8" s="1335" t="s">
        <v>721</v>
      </c>
      <c r="AJ8" s="1335" t="s">
        <v>227</v>
      </c>
      <c r="AK8" s="1290" t="s">
        <v>1408</v>
      </c>
      <c r="AL8" s="1358" t="s">
        <v>14</v>
      </c>
      <c r="AM8" s="109"/>
      <c r="AO8" s="62" t="s">
        <v>1089</v>
      </c>
      <c r="AP8" s="63">
        <f>TAB14_DATA_VAL</f>
        <v>41548</v>
      </c>
      <c r="AR8" s="108"/>
      <c r="AS8" s="112"/>
      <c r="AT8" s="29"/>
      <c r="AU8" s="29"/>
      <c r="AV8" s="29"/>
      <c r="AW8" s="131"/>
      <c r="AZ8" s="109"/>
      <c r="BB8" s="70"/>
      <c r="BF8" s="71"/>
      <c r="BI8" s="108"/>
      <c r="BM8" s="112"/>
      <c r="BN8" s="71"/>
      <c r="BP8" s="108"/>
      <c r="BQ8" s="30"/>
      <c r="BR8" s="29"/>
      <c r="BS8" s="29"/>
      <c r="BT8" s="29"/>
      <c r="BU8" s="29"/>
      <c r="BV8" s="29"/>
      <c r="BW8" s="29"/>
      <c r="BX8" s="109"/>
      <c r="CB8" s="29"/>
      <c r="CC8" s="70"/>
      <c r="CD8" s="1295" t="s">
        <v>721</v>
      </c>
      <c r="CE8" s="1295" t="s">
        <v>0</v>
      </c>
      <c r="CF8" s="1296" t="s">
        <v>1408</v>
      </c>
      <c r="CG8" s="32"/>
      <c r="CH8" s="1295" t="s">
        <v>721</v>
      </c>
      <c r="CI8" s="1295" t="s">
        <v>0</v>
      </c>
      <c r="CJ8" s="1296" t="s">
        <v>1408</v>
      </c>
      <c r="CK8" s="71"/>
      <c r="CL8" s="29"/>
      <c r="CM8" s="70"/>
      <c r="CN8" s="111"/>
      <c r="CO8" s="111"/>
      <c r="CP8" s="111"/>
      <c r="CQ8" s="271"/>
      <c r="CR8" s="111"/>
      <c r="CS8" s="271"/>
      <c r="CT8" s="71"/>
      <c r="CW8" s="425"/>
      <c r="CX8" s="423"/>
      <c r="CY8" s="409"/>
      <c r="CZ8" s="409"/>
      <c r="DA8" s="409"/>
      <c r="DB8" s="409"/>
      <c r="DC8" s="409"/>
      <c r="DD8" s="409"/>
      <c r="DE8" s="409"/>
      <c r="DF8" s="424"/>
      <c r="DG8" s="425"/>
      <c r="DH8" s="62" t="s">
        <v>1090</v>
      </c>
      <c r="DI8" s="63">
        <f>TAB25_DATA_VAL</f>
        <v>41548</v>
      </c>
      <c r="DK8" s="108"/>
      <c r="DL8" s="112"/>
      <c r="DM8" s="29"/>
      <c r="DN8" s="29"/>
      <c r="DO8" s="29"/>
      <c r="DP8" s="112"/>
      <c r="DQ8" s="29"/>
      <c r="DR8" s="29"/>
      <c r="DS8" s="109"/>
      <c r="DU8" s="62" t="s">
        <v>1091</v>
      </c>
      <c r="DV8" s="63">
        <f>TAB26_DATA_VAL</f>
        <v>41548</v>
      </c>
      <c r="DX8" s="108"/>
      <c r="DY8" s="39" t="s">
        <v>721</v>
      </c>
      <c r="DZ8" s="39" t="s">
        <v>227</v>
      </c>
      <c r="EA8" s="56" t="s">
        <v>793</v>
      </c>
      <c r="EB8" s="29"/>
      <c r="EC8" s="39" t="s">
        <v>721</v>
      </c>
      <c r="ED8" s="39" t="s">
        <v>227</v>
      </c>
      <c r="EE8" s="56" t="s">
        <v>793</v>
      </c>
      <c r="EF8" s="109"/>
      <c r="EH8" s="62" t="s">
        <v>1092</v>
      </c>
      <c r="EI8" s="63">
        <f>TAB27_DATA_VAL</f>
        <v>40238</v>
      </c>
      <c r="EK8" s="108"/>
      <c r="ES8" s="109"/>
      <c r="EU8" s="108"/>
      <c r="FB8" s="109"/>
      <c r="FG8" s="108"/>
      <c r="FH8" s="131"/>
      <c r="FI8" s="29"/>
      <c r="FJ8" s="29"/>
      <c r="FK8" s="109"/>
      <c r="FN8" s="106"/>
      <c r="FO8" s="104"/>
      <c r="FP8" s="104"/>
      <c r="FQ8" s="104"/>
      <c r="FR8" s="149"/>
      <c r="FS8" s="104"/>
      <c r="FT8" s="104"/>
      <c r="FU8" s="129"/>
      <c r="FV8" s="104"/>
      <c r="FW8" s="107"/>
      <c r="FY8" s="81"/>
      <c r="FZ8" s="81"/>
      <c r="GA8" s="81"/>
      <c r="GB8" s="81"/>
      <c r="GC8" s="81"/>
      <c r="GD8" s="81"/>
      <c r="GE8" s="81"/>
      <c r="GF8" s="69"/>
    </row>
    <row r="9" spans="3:196" ht="13.5" customHeight="1" thickBot="1">
      <c r="C9" s="87"/>
      <c r="D9" s="87"/>
      <c r="E9" s="87"/>
      <c r="F9" s="87"/>
      <c r="K9" s="108"/>
      <c r="L9" s="30"/>
      <c r="M9" s="30"/>
      <c r="N9" s="131"/>
      <c r="O9" s="29"/>
      <c r="P9" s="29"/>
      <c r="Q9" s="109"/>
      <c r="V9" s="108"/>
      <c r="Y9" s="29"/>
      <c r="Z9" s="55"/>
      <c r="AA9" s="271"/>
      <c r="AB9" s="109"/>
      <c r="AG9" s="108"/>
      <c r="AH9" s="30"/>
      <c r="AI9" s="1335"/>
      <c r="AJ9" s="1335"/>
      <c r="AK9" s="1291"/>
      <c r="AL9" s="1358"/>
      <c r="AM9" s="109"/>
      <c r="AO9" s="66" t="s">
        <v>281</v>
      </c>
      <c r="AP9" s="65">
        <f aca="true" t="shared" si="0" ref="AP9:AP40">AU9</f>
        <v>231.41</v>
      </c>
      <c r="AR9" s="108"/>
      <c r="AS9" s="459" t="s">
        <v>1409</v>
      </c>
      <c r="AT9" s="460" t="s">
        <v>1152</v>
      </c>
      <c r="AU9" s="805">
        <f>VLOOKUP("TV COMISS GERAL 01 40H",RHE,10,FALSE)</f>
        <v>231.41</v>
      </c>
      <c r="AV9" s="29"/>
      <c r="AW9" s="480" t="s">
        <v>1358</v>
      </c>
      <c r="AX9" s="460" t="s">
        <v>1161</v>
      </c>
      <c r="AY9" s="805">
        <f>VLOOKUP("TV COMISS TRIB CONT 11 40H",RHE,10,FALSE)</f>
        <v>3823.95</v>
      </c>
      <c r="AZ9" s="109"/>
      <c r="BB9" s="70"/>
      <c r="BC9" s="480" t="s">
        <v>1409</v>
      </c>
      <c r="BD9" s="528" t="s">
        <v>388</v>
      </c>
      <c r="BE9" s="872">
        <f>VLOOKUP("TV COMISS DEFENS 01 40H",RHE,10,FALSE)</f>
        <v>300.71</v>
      </c>
      <c r="BF9" s="71"/>
      <c r="BI9" s="108"/>
      <c r="BJ9" s="459" t="s">
        <v>1409</v>
      </c>
      <c r="BK9" s="460" t="s">
        <v>1152</v>
      </c>
      <c r="BL9" s="808">
        <f aca="true" t="shared" si="1" ref="BL9:BL31">AU9</f>
        <v>231.41</v>
      </c>
      <c r="BM9" s="805">
        <f>SUS01</f>
        <v>8.5</v>
      </c>
      <c r="BN9" s="71"/>
      <c r="BP9" s="108"/>
      <c r="BQ9" s="144" t="s">
        <v>1409</v>
      </c>
      <c r="BR9" s="52" t="str">
        <f>AT9</f>
        <v>CC 01 - 40 h</v>
      </c>
      <c r="BS9" s="30" t="e">
        <f>'01'!#REF!</f>
        <v>#REF!</v>
      </c>
      <c r="BT9" s="29"/>
      <c r="BU9" s="141" t="s">
        <v>1358</v>
      </c>
      <c r="BV9" s="29" t="str">
        <f>AX9</f>
        <v>CC TC 06</v>
      </c>
      <c r="BW9" s="29" t="s">
        <v>1079</v>
      </c>
      <c r="BX9" s="109"/>
      <c r="CB9" s="29"/>
      <c r="CC9" s="70"/>
      <c r="CD9" s="1295"/>
      <c r="CE9" s="1295"/>
      <c r="CF9" s="1297"/>
      <c r="CG9" s="29"/>
      <c r="CH9" s="1295"/>
      <c r="CI9" s="1295"/>
      <c r="CJ9" s="1297"/>
      <c r="CK9" s="71"/>
      <c r="CL9" s="29"/>
      <c r="CM9" s="70"/>
      <c r="CN9" s="29"/>
      <c r="CO9" s="29"/>
      <c r="CP9" s="1295" t="s">
        <v>539</v>
      </c>
      <c r="CQ9" s="1295" t="s">
        <v>685</v>
      </c>
      <c r="CR9" s="111"/>
      <c r="CS9" s="271"/>
      <c r="CT9" s="71"/>
      <c r="CW9" s="425"/>
      <c r="CX9" s="423"/>
      <c r="CY9" s="409"/>
      <c r="CZ9" s="409"/>
      <c r="DA9" s="409"/>
      <c r="DB9" s="425"/>
      <c r="DC9" s="409"/>
      <c r="DD9" s="409"/>
      <c r="DE9" s="409"/>
      <c r="DF9" s="424"/>
      <c r="DG9" s="425"/>
      <c r="DH9" s="66" t="s">
        <v>281</v>
      </c>
      <c r="DI9" s="65">
        <f aca="true" t="shared" si="2" ref="DI9:DI40">DN9</f>
        <v>69.9</v>
      </c>
      <c r="DK9" s="108"/>
      <c r="DL9" s="459" t="s">
        <v>1409</v>
      </c>
      <c r="DM9" s="460" t="s">
        <v>927</v>
      </c>
      <c r="DN9" s="805">
        <f>VLOOKUP("TV COMISS GERAL 02 40H",RHE,10,FALSE)</f>
        <v>69.9</v>
      </c>
      <c r="DO9" s="29"/>
      <c r="DP9" s="459" t="s">
        <v>1358</v>
      </c>
      <c r="DQ9" s="460" t="s">
        <v>268</v>
      </c>
      <c r="DR9" s="805">
        <f>VLOOKUP("TV COMISS TRIB JUST 08 40H",RHE,10,FALSE)</f>
        <v>3683.54</v>
      </c>
      <c r="DS9" s="109"/>
      <c r="DU9" s="66" t="s">
        <v>281</v>
      </c>
      <c r="DV9" s="65">
        <f aca="true" t="shared" si="3" ref="DV9:DV55">EA10</f>
        <v>69.9</v>
      </c>
      <c r="DX9" s="108"/>
      <c r="DY9" s="112"/>
      <c r="DZ9" s="29"/>
      <c r="EA9" s="29"/>
      <c r="EB9" s="29"/>
      <c r="EC9" s="131"/>
      <c r="ED9" s="29"/>
      <c r="EE9" s="29"/>
      <c r="EF9" s="109"/>
      <c r="EH9" s="66" t="s">
        <v>281</v>
      </c>
      <c r="EI9" s="65">
        <f>ER13</f>
        <v>134.67</v>
      </c>
      <c r="EK9" s="108"/>
      <c r="ES9" s="109"/>
      <c r="EU9" s="108"/>
      <c r="FB9" s="109"/>
      <c r="FG9" s="108"/>
      <c r="FK9" s="109"/>
      <c r="FN9" s="108"/>
      <c r="FW9" s="109"/>
      <c r="FY9" s="81"/>
      <c r="FZ9" s="81"/>
      <c r="GA9" s="81"/>
      <c r="GB9" s="81"/>
      <c r="GC9" s="81"/>
      <c r="GD9" s="81"/>
      <c r="GE9" s="81"/>
      <c r="GF9" s="69"/>
      <c r="GJ9" s="126"/>
      <c r="GN9" s="126"/>
    </row>
    <row r="10" spans="6:188" ht="12.75" thickBot="1">
      <c r="F10" s="87"/>
      <c r="K10" s="108"/>
      <c r="L10" s="30"/>
      <c r="M10" s="1335" t="s">
        <v>721</v>
      </c>
      <c r="N10" s="1335" t="s">
        <v>227</v>
      </c>
      <c r="O10" s="1290" t="s">
        <v>1408</v>
      </c>
      <c r="P10" s="29"/>
      <c r="Q10" s="109"/>
      <c r="V10" s="108"/>
      <c r="Y10" s="29"/>
      <c r="Z10" s="29"/>
      <c r="AA10" s="112"/>
      <c r="AB10" s="109"/>
      <c r="AG10" s="108"/>
      <c r="AH10" s="30"/>
      <c r="AI10" s="30"/>
      <c r="AJ10" s="112"/>
      <c r="AK10" s="112"/>
      <c r="AL10" s="112"/>
      <c r="AM10" s="109"/>
      <c r="AO10" s="66" t="s">
        <v>285</v>
      </c>
      <c r="AP10" s="65">
        <f t="shared" si="0"/>
        <v>266.06</v>
      </c>
      <c r="AR10" s="108"/>
      <c r="AS10" s="461" t="s">
        <v>1410</v>
      </c>
      <c r="AT10" s="462" t="s">
        <v>1130</v>
      </c>
      <c r="AU10" s="806">
        <f>VLOOKUP("TV COMISS GERAL 03 40H",RHE,10,FALSE)</f>
        <v>266.06</v>
      </c>
      <c r="AV10" s="29"/>
      <c r="AW10" s="498" t="s">
        <v>1359</v>
      </c>
      <c r="AX10" s="883" t="s">
        <v>1162</v>
      </c>
      <c r="AY10" s="938">
        <v>2971.7</v>
      </c>
      <c r="AZ10" s="109"/>
      <c r="BB10" s="70"/>
      <c r="BC10" s="498" t="s">
        <v>1410</v>
      </c>
      <c r="BD10" s="503" t="s">
        <v>389</v>
      </c>
      <c r="BE10" s="873">
        <f>VLOOKUP("TV COMISS DEFENS 02 40H",RHE,10,FALSE)</f>
        <v>97.36</v>
      </c>
      <c r="BF10" s="71"/>
      <c r="BI10" s="108"/>
      <c r="BJ10" s="461" t="s">
        <v>1410</v>
      </c>
      <c r="BK10" s="462" t="s">
        <v>1130</v>
      </c>
      <c r="BL10" s="809">
        <f t="shared" si="1"/>
        <v>266.06</v>
      </c>
      <c r="BM10" s="806">
        <f>SUS01</f>
        <v>8.5</v>
      </c>
      <c r="BN10" s="71"/>
      <c r="BP10" s="108"/>
      <c r="BQ10" s="145" t="s">
        <v>1410</v>
      </c>
      <c r="BR10" s="52" t="str">
        <f aca="true" t="shared" si="4" ref="BR10:BR64">AT10</f>
        <v>CC 02 - 40 h </v>
      </c>
      <c r="BS10" s="30" t="e">
        <f>'01'!#REF!</f>
        <v>#REF!</v>
      </c>
      <c r="BT10" s="29"/>
      <c r="BU10" s="142" t="s">
        <v>1359</v>
      </c>
      <c r="BV10" s="29" t="str">
        <f aca="true" t="shared" si="5" ref="BV10:BV15">AX10</f>
        <v>CC TC 07</v>
      </c>
      <c r="BW10" s="29" t="s">
        <v>1079</v>
      </c>
      <c r="BX10" s="109"/>
      <c r="BZ10" s="62" t="s">
        <v>310</v>
      </c>
      <c r="CA10" s="63">
        <f>TAB17_DATA_VAL</f>
        <v>41579</v>
      </c>
      <c r="CB10" s="29"/>
      <c r="CC10" s="70"/>
      <c r="CK10" s="71"/>
      <c r="CL10" s="29"/>
      <c r="CM10" s="70"/>
      <c r="CN10" s="29"/>
      <c r="CO10" s="29"/>
      <c r="CP10" s="1295"/>
      <c r="CQ10" s="1295"/>
      <c r="CR10" s="29"/>
      <c r="CS10" s="29"/>
      <c r="CT10" s="71"/>
      <c r="CW10" s="425"/>
      <c r="CX10" s="423"/>
      <c r="CY10" s="1294" t="s">
        <v>721</v>
      </c>
      <c r="CZ10" s="1294" t="s">
        <v>0</v>
      </c>
      <c r="DA10" s="1308" t="s">
        <v>1408</v>
      </c>
      <c r="DB10" s="426"/>
      <c r="DC10" s="1294" t="s">
        <v>721</v>
      </c>
      <c r="DD10" s="1294" t="s">
        <v>0</v>
      </c>
      <c r="DE10" s="1308" t="s">
        <v>1408</v>
      </c>
      <c r="DF10" s="424"/>
      <c r="DG10" s="425"/>
      <c r="DH10" s="66" t="s">
        <v>285</v>
      </c>
      <c r="DI10" s="65">
        <f t="shared" si="2"/>
        <v>83.69</v>
      </c>
      <c r="DK10" s="108"/>
      <c r="DL10" s="461" t="s">
        <v>1410</v>
      </c>
      <c r="DM10" s="462" t="s">
        <v>928</v>
      </c>
      <c r="DN10" s="806">
        <f>VLOOKUP("TV COMISS GERAL 04 40H",RHE,10,FALSE)</f>
        <v>83.69</v>
      </c>
      <c r="DO10" s="29"/>
      <c r="DP10" s="493" t="s">
        <v>1359</v>
      </c>
      <c r="DQ10" s="484" t="s">
        <v>269</v>
      </c>
      <c r="DR10" s="806">
        <f>VLOOKUP("TV COMISS TRIB JUST 09 40H",RHE,10,FALSE)</f>
        <v>3970.11</v>
      </c>
      <c r="DS10" s="109"/>
      <c r="DU10" s="66" t="s">
        <v>285</v>
      </c>
      <c r="DV10" s="65">
        <f t="shared" si="3"/>
        <v>83.69</v>
      </c>
      <c r="DX10" s="108"/>
      <c r="DY10" s="459" t="s">
        <v>1409</v>
      </c>
      <c r="DZ10" s="460" t="s">
        <v>992</v>
      </c>
      <c r="EA10" s="805">
        <f>DN9</f>
        <v>69.9</v>
      </c>
      <c r="EB10" s="29"/>
      <c r="EC10" s="480" t="s">
        <v>1343</v>
      </c>
      <c r="ED10" s="460" t="s">
        <v>729</v>
      </c>
      <c r="EE10" s="805">
        <f>AU9</f>
        <v>231.41</v>
      </c>
      <c r="EF10" s="109"/>
      <c r="EH10" s="66" t="s">
        <v>285</v>
      </c>
      <c r="EI10" s="65">
        <f>ER14</f>
        <v>269.34</v>
      </c>
      <c r="EK10" s="108"/>
      <c r="EL10" s="1335" t="s">
        <v>721</v>
      </c>
      <c r="EM10" s="1335" t="s">
        <v>773</v>
      </c>
      <c r="EN10" s="1335" t="s">
        <v>777</v>
      </c>
      <c r="EO10" s="1335" t="s">
        <v>799</v>
      </c>
      <c r="EP10" s="1359" t="s">
        <v>776</v>
      </c>
      <c r="EQ10" s="1335" t="s">
        <v>790</v>
      </c>
      <c r="ER10" s="1335" t="s">
        <v>793</v>
      </c>
      <c r="ES10" s="109"/>
      <c r="EU10" s="108"/>
      <c r="EV10" s="1335" t="s">
        <v>721</v>
      </c>
      <c r="EW10" s="1335" t="s">
        <v>773</v>
      </c>
      <c r="EX10" s="1335" t="s">
        <v>696</v>
      </c>
      <c r="EY10" s="1335" t="s">
        <v>799</v>
      </c>
      <c r="EZ10" s="1359" t="s">
        <v>776</v>
      </c>
      <c r="FA10" s="1358" t="s">
        <v>793</v>
      </c>
      <c r="FB10" s="109"/>
      <c r="FG10" s="108"/>
      <c r="FH10" s="1295" t="s">
        <v>721</v>
      </c>
      <c r="FI10" s="1335" t="s">
        <v>227</v>
      </c>
      <c r="FJ10" s="1335" t="s">
        <v>793</v>
      </c>
      <c r="FK10" s="109"/>
      <c r="FN10" s="108"/>
      <c r="FW10" s="109"/>
      <c r="FY10" s="81"/>
      <c r="FZ10" s="81"/>
      <c r="GA10" s="81"/>
      <c r="GB10" s="81"/>
      <c r="GC10" s="81"/>
      <c r="GD10" s="81"/>
      <c r="GE10" s="81"/>
      <c r="GF10" s="69"/>
    </row>
    <row r="11" spans="6:188" ht="12.75" thickBot="1">
      <c r="F11" s="87"/>
      <c r="K11" s="108"/>
      <c r="M11" s="1335"/>
      <c r="N11" s="1335"/>
      <c r="O11" s="1291"/>
      <c r="Q11" s="109"/>
      <c r="S11" s="319" t="s">
        <v>311</v>
      </c>
      <c r="T11" s="278">
        <f>TAB10_DATA_VAL</f>
        <v>39142</v>
      </c>
      <c r="V11" s="108"/>
      <c r="Y11" s="29"/>
      <c r="Z11" s="318"/>
      <c r="AA11" s="30"/>
      <c r="AB11" s="109"/>
      <c r="AD11" s="62" t="s">
        <v>312</v>
      </c>
      <c r="AE11" s="63">
        <f>TAB12_DATA_VAL</f>
        <v>41334</v>
      </c>
      <c r="AG11" s="108"/>
      <c r="AH11" s="30"/>
      <c r="AI11" s="459" t="s">
        <v>1409</v>
      </c>
      <c r="AJ11" s="460" t="s">
        <v>1208</v>
      </c>
      <c r="AK11" s="942">
        <v>5877.8</v>
      </c>
      <c r="AL11" s="448"/>
      <c r="AM11" s="109"/>
      <c r="AO11" s="66" t="s">
        <v>289</v>
      </c>
      <c r="AP11" s="65">
        <f t="shared" si="0"/>
        <v>325.29</v>
      </c>
      <c r="AR11" s="108"/>
      <c r="AS11" s="461" t="s">
        <v>1411</v>
      </c>
      <c r="AT11" s="462" t="s">
        <v>1131</v>
      </c>
      <c r="AU11" s="806">
        <f>VLOOKUP("TV COMISS GERAL 05 40H",RHE,10,FALSE)</f>
        <v>325.29</v>
      </c>
      <c r="AV11" s="29"/>
      <c r="AW11" s="498" t="s">
        <v>1360</v>
      </c>
      <c r="AX11" s="883" t="s">
        <v>1163</v>
      </c>
      <c r="AY11" s="806">
        <f>VLOOKUP("TV COMISS TRIB CONT 15 40H",RHE,10,FALSE)</f>
        <v>4303.45</v>
      </c>
      <c r="AZ11" s="109"/>
      <c r="BB11" s="70"/>
      <c r="BC11" s="498" t="s">
        <v>1411</v>
      </c>
      <c r="BD11" s="503" t="s">
        <v>390</v>
      </c>
      <c r="BE11" s="873">
        <f>VLOOKUP("TV COMISS DEFENS 03 40H",RHE,10,FALSE)</f>
        <v>349.39</v>
      </c>
      <c r="BF11" s="71"/>
      <c r="BI11" s="108"/>
      <c r="BJ11" s="461" t="s">
        <v>1411</v>
      </c>
      <c r="BK11" s="462" t="s">
        <v>1131</v>
      </c>
      <c r="BL11" s="809">
        <f t="shared" si="1"/>
        <v>325.29</v>
      </c>
      <c r="BM11" s="806">
        <f>SUS01</f>
        <v>8.5</v>
      </c>
      <c r="BN11" s="71"/>
      <c r="BP11" s="108"/>
      <c r="BQ11" s="145" t="s">
        <v>1411</v>
      </c>
      <c r="BR11" s="52" t="str">
        <f t="shared" si="4"/>
        <v>CC 03 - 40 h </v>
      </c>
      <c r="BS11" s="30" t="e">
        <f>'01'!#REF!</f>
        <v>#REF!</v>
      </c>
      <c r="BT11" s="29"/>
      <c r="BU11" s="142" t="s">
        <v>1360</v>
      </c>
      <c r="BV11" s="29" t="str">
        <f t="shared" si="5"/>
        <v>CC TC 08</v>
      </c>
      <c r="BW11" s="29" t="s">
        <v>1079</v>
      </c>
      <c r="BX11" s="109"/>
      <c r="BZ11" s="132" t="s">
        <v>294</v>
      </c>
      <c r="CA11" s="133">
        <f aca="true" t="shared" si="6" ref="CA11:CA16">CF11</f>
        <v>520.26</v>
      </c>
      <c r="CB11" s="29"/>
      <c r="CC11" s="70"/>
      <c r="CD11" s="530" t="s">
        <v>1409</v>
      </c>
      <c r="CE11" s="531" t="s">
        <v>294</v>
      </c>
      <c r="CF11" s="892">
        <f>VLOOKUP("TV MAGIST PL CARR 01 20H",RHE,10,FALSE)</f>
        <v>520.26</v>
      </c>
      <c r="CG11" s="29"/>
      <c r="CH11" s="530" t="s">
        <v>1301</v>
      </c>
      <c r="CI11" s="531" t="s">
        <v>828</v>
      </c>
      <c r="CJ11" s="892">
        <f>VLOOKUP("TV MAGIST PL CARR 19 20H",RHE,10,FALSE)</f>
        <v>676.33</v>
      </c>
      <c r="CK11" s="71"/>
      <c r="CL11" s="29"/>
      <c r="CM11" s="70"/>
      <c r="CN11" s="29"/>
      <c r="CO11" s="29"/>
      <c r="CR11" s="131"/>
      <c r="CS11" s="29"/>
      <c r="CT11" s="71"/>
      <c r="CW11" s="425"/>
      <c r="CX11" s="423"/>
      <c r="CY11" s="1294"/>
      <c r="CZ11" s="1294"/>
      <c r="DA11" s="1309"/>
      <c r="DB11" s="425"/>
      <c r="DC11" s="1294"/>
      <c r="DD11" s="1294"/>
      <c r="DE11" s="1309"/>
      <c r="DF11" s="424"/>
      <c r="DG11" s="425"/>
      <c r="DH11" s="66" t="s">
        <v>289</v>
      </c>
      <c r="DI11" s="65">
        <f t="shared" si="2"/>
        <v>107.31</v>
      </c>
      <c r="DK11" s="108"/>
      <c r="DL11" s="461" t="s">
        <v>1411</v>
      </c>
      <c r="DM11" s="462" t="s">
        <v>929</v>
      </c>
      <c r="DN11" s="806">
        <f>VLOOKUP("TV COMISS GERAL 06 40H",RHE,10,FALSE)</f>
        <v>107.31</v>
      </c>
      <c r="DO11" s="29"/>
      <c r="DP11" s="512" t="s">
        <v>1360</v>
      </c>
      <c r="DQ11" s="513" t="s">
        <v>908</v>
      </c>
      <c r="DR11" s="945">
        <f>VLOOKUP("TV COMISS GERAL 32 40H",RHE,10,FALSE)</f>
        <v>821.32</v>
      </c>
      <c r="DS11" s="109"/>
      <c r="DU11" s="66" t="s">
        <v>289</v>
      </c>
      <c r="DV11" s="65">
        <f t="shared" si="3"/>
        <v>107.31</v>
      </c>
      <c r="DX11" s="108"/>
      <c r="DY11" s="461" t="s">
        <v>1410</v>
      </c>
      <c r="DZ11" s="462" t="s">
        <v>993</v>
      </c>
      <c r="EA11" s="806">
        <f aca="true" t="shared" si="7" ref="EA11:EA17">DN10</f>
        <v>83.69</v>
      </c>
      <c r="EB11" s="29"/>
      <c r="EC11" s="498" t="s">
        <v>1344</v>
      </c>
      <c r="ED11" s="462" t="s">
        <v>730</v>
      </c>
      <c r="EE11" s="806">
        <f aca="true" t="shared" si="8" ref="EE11:EE21">AU10</f>
        <v>266.06</v>
      </c>
      <c r="EF11" s="109"/>
      <c r="EH11" s="66" t="s">
        <v>289</v>
      </c>
      <c r="EI11" s="65">
        <f>ER15</f>
        <v>234.42</v>
      </c>
      <c r="EK11" s="108"/>
      <c r="EL11" s="1335"/>
      <c r="EM11" s="1335"/>
      <c r="EN11" s="1335"/>
      <c r="EO11" s="1335"/>
      <c r="EP11" s="1359"/>
      <c r="EQ11" s="1335"/>
      <c r="ER11" s="1335"/>
      <c r="ES11" s="109"/>
      <c r="EU11" s="108"/>
      <c r="EV11" s="1335"/>
      <c r="EW11" s="1335"/>
      <c r="EX11" s="1335"/>
      <c r="EY11" s="1335"/>
      <c r="EZ11" s="1359"/>
      <c r="FA11" s="1358"/>
      <c r="FB11" s="109"/>
      <c r="FG11" s="108"/>
      <c r="FH11" s="1295"/>
      <c r="FI11" s="1335"/>
      <c r="FJ11" s="1335"/>
      <c r="FK11" s="109"/>
      <c r="FN11" s="108"/>
      <c r="FO11" s="39" t="s">
        <v>188</v>
      </c>
      <c r="FP11" s="40" t="s">
        <v>793</v>
      </c>
      <c r="FQ11" s="179"/>
      <c r="FR11" s="39" t="s">
        <v>187</v>
      </c>
      <c r="FS11" s="40" t="s">
        <v>793</v>
      </c>
      <c r="FT11" s="179"/>
      <c r="FU11" s="39" t="s">
        <v>189</v>
      </c>
      <c r="FV11" s="40" t="s">
        <v>793</v>
      </c>
      <c r="FW11" s="109"/>
      <c r="FY11" s="81"/>
      <c r="FZ11" s="81"/>
      <c r="GA11" s="81"/>
      <c r="GB11" s="81"/>
      <c r="GC11" s="81"/>
      <c r="GD11" s="81"/>
      <c r="GE11" s="81"/>
      <c r="GF11" s="69"/>
    </row>
    <row r="12" spans="6:188" ht="12">
      <c r="F12" s="87"/>
      <c r="H12" s="62" t="s">
        <v>295</v>
      </c>
      <c r="I12" s="63">
        <f>TAB07_DATA_VAL</f>
        <v>41579</v>
      </c>
      <c r="K12" s="108"/>
      <c r="M12" s="112"/>
      <c r="N12" s="131"/>
      <c r="O12" s="29"/>
      <c r="Q12" s="109"/>
      <c r="S12" s="320" t="s">
        <v>93</v>
      </c>
      <c r="T12" s="321">
        <f>Z15</f>
        <v>2281.6</v>
      </c>
      <c r="V12" s="108"/>
      <c r="X12" s="1335" t="s">
        <v>721</v>
      </c>
      <c r="Y12" s="1295" t="s">
        <v>227</v>
      </c>
      <c r="Z12" s="1296" t="s">
        <v>1408</v>
      </c>
      <c r="AA12" s="30"/>
      <c r="AB12" s="109"/>
      <c r="AD12" s="132" t="s">
        <v>281</v>
      </c>
      <c r="AE12" s="133">
        <f aca="true" t="shared" si="9" ref="AE12:AE38">AK11</f>
        <v>5877.8</v>
      </c>
      <c r="AG12" s="108"/>
      <c r="AH12" s="30"/>
      <c r="AI12" s="461" t="s">
        <v>1410</v>
      </c>
      <c r="AJ12" s="462" t="s">
        <v>1209</v>
      </c>
      <c r="AK12" s="943">
        <v>5669.2</v>
      </c>
      <c r="AL12" s="451"/>
      <c r="AM12" s="109"/>
      <c r="AO12" s="66" t="s">
        <v>60</v>
      </c>
      <c r="AP12" s="65">
        <f t="shared" si="0"/>
        <v>384.4</v>
      </c>
      <c r="AR12" s="108"/>
      <c r="AS12" s="461" t="s">
        <v>1412</v>
      </c>
      <c r="AT12" s="462" t="s">
        <v>1132</v>
      </c>
      <c r="AU12" s="806">
        <f>VLOOKUP("TV COMISS GERAL 07 40H",RHE,10,FALSE)</f>
        <v>384.4</v>
      </c>
      <c r="AV12" s="29"/>
      <c r="AW12" s="498" t="s">
        <v>1361</v>
      </c>
      <c r="AX12" s="883" t="s">
        <v>1164</v>
      </c>
      <c r="AY12" s="938">
        <v>3813</v>
      </c>
      <c r="AZ12" s="109"/>
      <c r="BB12" s="70"/>
      <c r="BC12" s="498" t="s">
        <v>1412</v>
      </c>
      <c r="BD12" s="503" t="s">
        <v>391</v>
      </c>
      <c r="BE12" s="873">
        <f>VLOOKUP("TV COMISS DEFENS 04 40H",RHE,10,FALSE)</f>
        <v>117.02</v>
      </c>
      <c r="BF12" s="71"/>
      <c r="BI12" s="108"/>
      <c r="BJ12" s="461" t="s">
        <v>1412</v>
      </c>
      <c r="BK12" s="462" t="s">
        <v>1132</v>
      </c>
      <c r="BL12" s="809">
        <f t="shared" si="1"/>
        <v>384.4</v>
      </c>
      <c r="BM12" s="806">
        <f>SUS02</f>
        <v>10.1</v>
      </c>
      <c r="BN12" s="71"/>
      <c r="BP12" s="108"/>
      <c r="BQ12" s="145" t="s">
        <v>1412</v>
      </c>
      <c r="BR12" s="52" t="str">
        <f t="shared" si="4"/>
        <v>CC 04 - 40 h</v>
      </c>
      <c r="BS12" s="30" t="e">
        <f>'01'!#REF!</f>
        <v>#REF!</v>
      </c>
      <c r="BT12" s="29"/>
      <c r="BU12" s="142" t="s">
        <v>1361</v>
      </c>
      <c r="BV12" s="29" t="str">
        <f t="shared" si="5"/>
        <v>CC TC 09</v>
      </c>
      <c r="BW12" s="29" t="s">
        <v>1079</v>
      </c>
      <c r="BX12" s="109"/>
      <c r="BZ12" s="66" t="s">
        <v>296</v>
      </c>
      <c r="CA12" s="65">
        <f t="shared" si="6"/>
        <v>598.29</v>
      </c>
      <c r="CB12" s="29"/>
      <c r="CC12" s="70"/>
      <c r="CD12" s="532" t="s">
        <v>1410</v>
      </c>
      <c r="CE12" s="533" t="s">
        <v>296</v>
      </c>
      <c r="CF12" s="893">
        <f>VLOOKUP("TV MAGIST PL CARR 02 20H",RHE,10,FALSE)</f>
        <v>598.29</v>
      </c>
      <c r="CG12" s="29"/>
      <c r="CH12" s="532" t="s">
        <v>1302</v>
      </c>
      <c r="CI12" s="533" t="s">
        <v>829</v>
      </c>
      <c r="CJ12" s="893">
        <f>VLOOKUP("TV MAGIST PL CARR 20 20H",RHE,10,FALSE)</f>
        <v>777.78</v>
      </c>
      <c r="CK12" s="71"/>
      <c r="CL12" s="29"/>
      <c r="CM12" s="70"/>
      <c r="CN12" s="29"/>
      <c r="CO12" s="29"/>
      <c r="CP12" s="480" t="s">
        <v>1302</v>
      </c>
      <c r="CQ12" s="897">
        <f>PISO_MAG*0.5</f>
        <v>431.4</v>
      </c>
      <c r="CR12" s="131"/>
      <c r="CS12" s="29"/>
      <c r="CT12" s="71"/>
      <c r="CU12" s="62" t="s">
        <v>501</v>
      </c>
      <c r="CV12" s="63">
        <f>TAB37_DATA_VAL</f>
        <v>41579</v>
      </c>
      <c r="CW12" s="425"/>
      <c r="CX12" s="423"/>
      <c r="CY12" s="409"/>
      <c r="CZ12" s="409"/>
      <c r="DA12" s="409"/>
      <c r="DB12" s="409"/>
      <c r="DC12" s="409"/>
      <c r="DD12" s="409"/>
      <c r="DE12" s="409"/>
      <c r="DF12" s="424"/>
      <c r="DG12" s="425"/>
      <c r="DH12" s="66" t="s">
        <v>60</v>
      </c>
      <c r="DI12" s="65">
        <f t="shared" si="2"/>
        <v>130.93</v>
      </c>
      <c r="DK12" s="108"/>
      <c r="DL12" s="461" t="s">
        <v>1412</v>
      </c>
      <c r="DM12" s="462" t="s">
        <v>930</v>
      </c>
      <c r="DN12" s="806">
        <f>VLOOKUP("TV COMISS GERAL 08 40H",RHE,10,FALSE)</f>
        <v>130.93</v>
      </c>
      <c r="DO12" s="29"/>
      <c r="DP12" s="511" t="s">
        <v>1361</v>
      </c>
      <c r="DQ12" s="510" t="s">
        <v>921</v>
      </c>
      <c r="DR12" s="812">
        <f>VLOOKUP("TV COMISS FAZENDA 1 02 40H",RHE,10,FALSE)</f>
        <v>107.31</v>
      </c>
      <c r="DS12" s="109"/>
      <c r="DU12" s="66" t="s">
        <v>60</v>
      </c>
      <c r="DV12" s="65">
        <f t="shared" si="3"/>
        <v>130.93</v>
      </c>
      <c r="DX12" s="108"/>
      <c r="DY12" s="461" t="s">
        <v>1411</v>
      </c>
      <c r="DZ12" s="462" t="s">
        <v>994</v>
      </c>
      <c r="EA12" s="806">
        <f t="shared" si="7"/>
        <v>107.31</v>
      </c>
      <c r="EB12" s="29"/>
      <c r="EC12" s="498" t="s">
        <v>1345</v>
      </c>
      <c r="ED12" s="462" t="s">
        <v>731</v>
      </c>
      <c r="EE12" s="806">
        <f t="shared" si="8"/>
        <v>325.29</v>
      </c>
      <c r="EF12" s="109"/>
      <c r="EH12" s="66" t="s">
        <v>60</v>
      </c>
      <c r="EI12" s="65">
        <f>ER16</f>
        <v>314.23</v>
      </c>
      <c r="EK12" s="108"/>
      <c r="ES12" s="109"/>
      <c r="EU12" s="108"/>
      <c r="FB12" s="109"/>
      <c r="FD12" s="62" t="s">
        <v>1075</v>
      </c>
      <c r="FE12" s="63">
        <f>TAB30_DATA_VAL</f>
        <v>40238</v>
      </c>
      <c r="FG12" s="108"/>
      <c r="FH12" s="131"/>
      <c r="FI12" s="29"/>
      <c r="FJ12" s="29"/>
      <c r="FK12" s="109"/>
      <c r="FN12" s="108"/>
      <c r="FO12" s="30"/>
      <c r="FP12" s="30"/>
      <c r="FQ12" s="30"/>
      <c r="FR12" s="112"/>
      <c r="FS12" s="30"/>
      <c r="FT12" s="30"/>
      <c r="FU12" s="30"/>
      <c r="FV12" s="30"/>
      <c r="FW12" s="109"/>
      <c r="FY12" s="81"/>
      <c r="FZ12" s="81"/>
      <c r="GA12" s="81"/>
      <c r="GB12" s="81"/>
      <c r="GC12" s="81"/>
      <c r="GD12" s="81"/>
      <c r="GE12" s="81"/>
      <c r="GF12" s="69"/>
    </row>
    <row r="13" spans="8:188" ht="12.75" customHeight="1">
      <c r="H13" s="66" t="s">
        <v>1077</v>
      </c>
      <c r="I13" s="65">
        <f>O13</f>
        <v>520.26</v>
      </c>
      <c r="K13" s="108"/>
      <c r="M13" s="1213" t="s">
        <v>1409</v>
      </c>
      <c r="N13" s="1196" t="s">
        <v>1336</v>
      </c>
      <c r="O13" s="1369">
        <f>VLOOKUP("TV MAGIST Q UNICO 01 20H",RHE,10,FALSE)</f>
        <v>520.26</v>
      </c>
      <c r="Q13" s="109"/>
      <c r="S13" s="66" t="s">
        <v>114</v>
      </c>
      <c r="T13" s="137">
        <f>Z16</f>
        <v>5278</v>
      </c>
      <c r="V13" s="108"/>
      <c r="X13" s="1335"/>
      <c r="Y13" s="1295"/>
      <c r="Z13" s="1297"/>
      <c r="AA13" s="30"/>
      <c r="AB13" s="109"/>
      <c r="AD13" s="66" t="s">
        <v>285</v>
      </c>
      <c r="AE13" s="65">
        <f t="shared" si="9"/>
        <v>5669.2</v>
      </c>
      <c r="AG13" s="108"/>
      <c r="AH13" s="30"/>
      <c r="AI13" s="461" t="s">
        <v>1411</v>
      </c>
      <c r="AJ13" s="462" t="s">
        <v>1210</v>
      </c>
      <c r="AK13" s="943">
        <v>5469.1</v>
      </c>
      <c r="AL13" s="451"/>
      <c r="AM13" s="109"/>
      <c r="AO13" s="66" t="s">
        <v>63</v>
      </c>
      <c r="AP13" s="65">
        <f t="shared" si="0"/>
        <v>444.83</v>
      </c>
      <c r="AR13" s="108"/>
      <c r="AS13" s="461" t="s">
        <v>1413</v>
      </c>
      <c r="AT13" s="462" t="s">
        <v>1133</v>
      </c>
      <c r="AU13" s="806">
        <f>VLOOKUP("TV COMISS GERAL 09 40H",RHE,10,FALSE)</f>
        <v>444.83</v>
      </c>
      <c r="AV13" s="29"/>
      <c r="AW13" s="498" t="s">
        <v>1362</v>
      </c>
      <c r="AX13" s="883" t="s">
        <v>1165</v>
      </c>
      <c r="AY13" s="938">
        <v>4051.8</v>
      </c>
      <c r="AZ13" s="109"/>
      <c r="BB13" s="70"/>
      <c r="BC13" s="498" t="s">
        <v>1413</v>
      </c>
      <c r="BD13" s="503" t="s">
        <v>392</v>
      </c>
      <c r="BE13" s="873">
        <f>VLOOKUP("TV COMISS DEFENS 05 40H",RHE,10,FALSE)</f>
        <v>432.24</v>
      </c>
      <c r="BF13" s="71"/>
      <c r="BI13" s="108"/>
      <c r="BJ13" s="461" t="s">
        <v>1413</v>
      </c>
      <c r="BK13" s="462" t="s">
        <v>1133</v>
      </c>
      <c r="BL13" s="809">
        <f t="shared" si="1"/>
        <v>444.83</v>
      </c>
      <c r="BM13" s="806">
        <f>SUS02</f>
        <v>10.1</v>
      </c>
      <c r="BN13" s="71"/>
      <c r="BP13" s="108"/>
      <c r="BQ13" s="145" t="s">
        <v>1413</v>
      </c>
      <c r="BR13" s="52" t="str">
        <f t="shared" si="4"/>
        <v>CC 05 - 40 h</v>
      </c>
      <c r="BS13" s="30" t="e">
        <f>'01'!#REF!</f>
        <v>#REF!</v>
      </c>
      <c r="BT13" s="29"/>
      <c r="BU13" s="142" t="s">
        <v>1362</v>
      </c>
      <c r="BV13" s="29" t="str">
        <f t="shared" si="5"/>
        <v>CC TC 10 </v>
      </c>
      <c r="BW13" s="29" t="s">
        <v>1079</v>
      </c>
      <c r="BX13" s="109"/>
      <c r="BZ13" s="66" t="s">
        <v>1078</v>
      </c>
      <c r="CA13" s="65">
        <f t="shared" si="6"/>
        <v>676.33</v>
      </c>
      <c r="CB13" s="29"/>
      <c r="CC13" s="70"/>
      <c r="CD13" s="532" t="s">
        <v>1411</v>
      </c>
      <c r="CE13" s="533" t="s">
        <v>1078</v>
      </c>
      <c r="CF13" s="893">
        <f>VLOOKUP("TV MAGIST PL CARR 03 20H",RHE,10,FALSE)</f>
        <v>676.33</v>
      </c>
      <c r="CG13" s="29"/>
      <c r="CH13" s="532" t="s">
        <v>1303</v>
      </c>
      <c r="CI13" s="533" t="s">
        <v>881</v>
      </c>
      <c r="CJ13" s="893">
        <f>VLOOKUP("TV MAGIST PL CARR 21 20H",RHE,10,FALSE)</f>
        <v>879.23</v>
      </c>
      <c r="CK13" s="71"/>
      <c r="CL13" s="29"/>
      <c r="CM13" s="70"/>
      <c r="CN13" s="29"/>
      <c r="CO13" s="29"/>
      <c r="CP13" s="498" t="s">
        <v>1303</v>
      </c>
      <c r="CQ13" s="898">
        <f>PISO_MAG/40*CP13</f>
        <v>452.97</v>
      </c>
      <c r="CR13" s="131"/>
      <c r="CS13" s="29"/>
      <c r="CT13" s="71"/>
      <c r="CU13" s="132" t="s">
        <v>294</v>
      </c>
      <c r="CV13" s="133">
        <f aca="true" t="shared" si="10" ref="CV13:CV18">DA13</f>
        <v>553.3</v>
      </c>
      <c r="CW13" s="425"/>
      <c r="CX13" s="423"/>
      <c r="CY13" s="530" t="s">
        <v>1409</v>
      </c>
      <c r="CZ13" s="531" t="s">
        <v>294</v>
      </c>
      <c r="DA13" s="922">
        <f>ROUND(A1_MAG*1.0636,1)</f>
        <v>553.3</v>
      </c>
      <c r="DB13" s="425"/>
      <c r="DC13" s="530" t="s">
        <v>1301</v>
      </c>
      <c r="DD13" s="531" t="s">
        <v>828</v>
      </c>
      <c r="DE13" s="892">
        <f aca="true" t="shared" si="11" ref="DE13:DE18">ROUND(CJ11*1.0636,1)</f>
        <v>719.3</v>
      </c>
      <c r="DF13" s="424"/>
      <c r="DG13" s="425"/>
      <c r="DH13" s="66" t="s">
        <v>63</v>
      </c>
      <c r="DI13" s="65">
        <f t="shared" si="2"/>
        <v>155.15</v>
      </c>
      <c r="DK13" s="108"/>
      <c r="DL13" s="461" t="s">
        <v>1413</v>
      </c>
      <c r="DM13" s="462" t="s">
        <v>931</v>
      </c>
      <c r="DN13" s="806">
        <f>VLOOKUP("TV COMISS GERAL 10 40H",RHE,10,FALSE)</f>
        <v>155.15</v>
      </c>
      <c r="DO13" s="29"/>
      <c r="DP13" s="461" t="s">
        <v>1362</v>
      </c>
      <c r="DQ13" s="462" t="s">
        <v>922</v>
      </c>
      <c r="DR13" s="806">
        <f>VLOOKUP("TV COMISS FAZENDA 2 02 40H",RHE,10,FALSE)</f>
        <v>155.15</v>
      </c>
      <c r="DS13" s="109"/>
      <c r="DU13" s="66" t="s">
        <v>63</v>
      </c>
      <c r="DV13" s="65">
        <f t="shared" si="3"/>
        <v>155.15</v>
      </c>
      <c r="DX13" s="108"/>
      <c r="DY13" s="461" t="s">
        <v>1412</v>
      </c>
      <c r="DZ13" s="462" t="s">
        <v>995</v>
      </c>
      <c r="EA13" s="806">
        <f t="shared" si="7"/>
        <v>130.93</v>
      </c>
      <c r="EB13" s="29"/>
      <c r="EC13" s="498" t="s">
        <v>1356</v>
      </c>
      <c r="ED13" s="462" t="s">
        <v>732</v>
      </c>
      <c r="EE13" s="806">
        <f t="shared" si="8"/>
        <v>384.4</v>
      </c>
      <c r="EF13" s="109"/>
      <c r="EH13" s="66" t="s">
        <v>63</v>
      </c>
      <c r="EI13" s="65">
        <f>ER18</f>
        <v>159.6</v>
      </c>
      <c r="EK13" s="108"/>
      <c r="EL13" s="459" t="s">
        <v>1409</v>
      </c>
      <c r="EM13" s="537" t="s">
        <v>775</v>
      </c>
      <c r="EN13" s="537" t="s">
        <v>8</v>
      </c>
      <c r="EO13" s="549">
        <v>0.27</v>
      </c>
      <c r="EP13" s="550">
        <v>20</v>
      </c>
      <c r="EQ13" s="542" t="s">
        <v>781</v>
      </c>
      <c r="ER13" s="805">
        <f>VLOOKUP("TV GD MAG VICE 01 20H",RHE,10,FALSE)</f>
        <v>134.67</v>
      </c>
      <c r="ES13" s="109"/>
      <c r="EU13" s="108"/>
      <c r="EV13" s="459" t="s">
        <v>1303</v>
      </c>
      <c r="EW13" s="537" t="s">
        <v>774</v>
      </c>
      <c r="EX13" s="537" t="s">
        <v>679</v>
      </c>
      <c r="EY13" s="537">
        <v>0.27</v>
      </c>
      <c r="EZ13" s="550">
        <v>20</v>
      </c>
      <c r="FA13" s="892">
        <f>VLOOKUP("TV GD MAG ANEXO III 01 20H",RHE,10,FALSE)</f>
        <v>134.67</v>
      </c>
      <c r="FB13" s="109"/>
      <c r="FD13" s="66" t="s">
        <v>281</v>
      </c>
      <c r="FE13" s="65">
        <f>FJ13</f>
        <v>499.14</v>
      </c>
      <c r="FG13" s="108"/>
      <c r="FH13" s="1213" t="s">
        <v>1409</v>
      </c>
      <c r="FI13" s="1196" t="s">
        <v>630</v>
      </c>
      <c r="FJ13" s="1369">
        <f>VLOOKUP("TV COMISS IPERGS 15 40H",RHE,10,FALSE)</f>
        <v>499.14</v>
      </c>
      <c r="FK13" s="109"/>
      <c r="FN13" s="108"/>
      <c r="FW13" s="109"/>
      <c r="FY13" s="81"/>
      <c r="FZ13" s="81"/>
      <c r="GA13" s="81"/>
      <c r="GB13" s="81"/>
      <c r="GC13" s="81"/>
      <c r="GD13" s="81"/>
      <c r="GE13" s="81"/>
      <c r="GF13" s="69"/>
    </row>
    <row r="14" spans="8:188" ht="12.75" customHeight="1">
      <c r="H14" s="66" t="s">
        <v>54</v>
      </c>
      <c r="I14" s="65">
        <f>O15</f>
        <v>520.26</v>
      </c>
      <c r="K14" s="108"/>
      <c r="L14" s="29"/>
      <c r="M14" s="1303"/>
      <c r="N14" s="1182"/>
      <c r="O14" s="1338"/>
      <c r="P14" s="29"/>
      <c r="Q14" s="109"/>
      <c r="S14" s="66" t="s">
        <v>119</v>
      </c>
      <c r="T14" s="137">
        <f>Z17</f>
        <v>542.6</v>
      </c>
      <c r="V14" s="108"/>
      <c r="X14" s="30"/>
      <c r="Y14" s="112"/>
      <c r="Z14" s="112"/>
      <c r="AA14" s="30"/>
      <c r="AB14" s="109"/>
      <c r="AD14" s="66" t="s">
        <v>289</v>
      </c>
      <c r="AE14" s="65">
        <f t="shared" si="9"/>
        <v>5469.1</v>
      </c>
      <c r="AG14" s="108"/>
      <c r="AH14" s="30"/>
      <c r="AI14" s="461" t="s">
        <v>1412</v>
      </c>
      <c r="AJ14" s="462" t="s">
        <v>1211</v>
      </c>
      <c r="AK14" s="943">
        <v>5278</v>
      </c>
      <c r="AL14" s="451"/>
      <c r="AM14" s="109"/>
      <c r="AO14" s="66" t="s">
        <v>863</v>
      </c>
      <c r="AP14" s="65">
        <f t="shared" si="0"/>
        <v>503.94</v>
      </c>
      <c r="AR14" s="108"/>
      <c r="AS14" s="461" t="s">
        <v>1414</v>
      </c>
      <c r="AT14" s="462" t="s">
        <v>1134</v>
      </c>
      <c r="AU14" s="806">
        <f>VLOOKUP("TV COMISS GERAL 11 40H",RHE,10,FALSE)</f>
        <v>503.94</v>
      </c>
      <c r="AV14" s="29"/>
      <c r="AW14" s="498" t="s">
        <v>1363</v>
      </c>
      <c r="AX14" s="883" t="s">
        <v>1166</v>
      </c>
      <c r="AY14" s="938">
        <v>4288</v>
      </c>
      <c r="AZ14" s="109"/>
      <c r="BB14" s="70"/>
      <c r="BC14" s="498" t="s">
        <v>1414</v>
      </c>
      <c r="BD14" s="503" t="s">
        <v>393</v>
      </c>
      <c r="BE14" s="873">
        <f>VLOOKUP("TV COMISS DEFENS 06 40H",RHE,10,FALSE)</f>
        <v>150.11</v>
      </c>
      <c r="BF14" s="71"/>
      <c r="BI14" s="108"/>
      <c r="BJ14" s="461" t="s">
        <v>1414</v>
      </c>
      <c r="BK14" s="462" t="s">
        <v>1134</v>
      </c>
      <c r="BL14" s="809">
        <f t="shared" si="1"/>
        <v>503.94</v>
      </c>
      <c r="BM14" s="806">
        <f>SUS03</f>
        <v>11.6</v>
      </c>
      <c r="BN14" s="71"/>
      <c r="BP14" s="108"/>
      <c r="BQ14" s="145" t="s">
        <v>1414</v>
      </c>
      <c r="BR14" s="52" t="str">
        <f t="shared" si="4"/>
        <v>CC 06 - 40 h </v>
      </c>
      <c r="BS14" s="30" t="e">
        <f>'01'!#REF!</f>
        <v>#REF!</v>
      </c>
      <c r="BT14" s="29"/>
      <c r="BU14" s="142" t="s">
        <v>1363</v>
      </c>
      <c r="BV14" s="29" t="str">
        <f t="shared" si="5"/>
        <v>CC TC 11 </v>
      </c>
      <c r="BW14" s="29" t="s">
        <v>1079</v>
      </c>
      <c r="BX14" s="109"/>
      <c r="BZ14" s="66" t="s">
        <v>55</v>
      </c>
      <c r="CA14" s="65">
        <f t="shared" si="6"/>
        <v>780.39</v>
      </c>
      <c r="CB14" s="29"/>
      <c r="CC14" s="70"/>
      <c r="CD14" s="532" t="s">
        <v>1412</v>
      </c>
      <c r="CE14" s="533" t="s">
        <v>55</v>
      </c>
      <c r="CF14" s="893">
        <f>VLOOKUP("TV MAGIST PL CARR 04 20H",RHE,10,FALSE)</f>
        <v>780.39</v>
      </c>
      <c r="CG14" s="29"/>
      <c r="CH14" s="532" t="s">
        <v>1304</v>
      </c>
      <c r="CI14" s="533" t="s">
        <v>1084</v>
      </c>
      <c r="CJ14" s="893">
        <f>VLOOKUP("TV MAGIST PL CARR 22 20H",RHE,10,FALSE)</f>
        <v>1014.5</v>
      </c>
      <c r="CK14" s="71"/>
      <c r="CL14" s="29"/>
      <c r="CM14" s="70"/>
      <c r="CN14" s="29"/>
      <c r="CO14" s="29"/>
      <c r="CP14" s="498" t="s">
        <v>1304</v>
      </c>
      <c r="CQ14" s="898">
        <f aca="true" t="shared" si="12" ref="CQ14:CQ32">PISO_MAG/40*CP14</f>
        <v>474.54</v>
      </c>
      <c r="CR14" s="131"/>
      <c r="CS14" s="29"/>
      <c r="CT14" s="71"/>
      <c r="CU14" s="66" t="s">
        <v>296</v>
      </c>
      <c r="CV14" s="65">
        <f t="shared" si="10"/>
        <v>636.3</v>
      </c>
      <c r="CW14" s="425"/>
      <c r="CX14" s="423"/>
      <c r="CY14" s="532" t="s">
        <v>1410</v>
      </c>
      <c r="CZ14" s="533" t="s">
        <v>296</v>
      </c>
      <c r="DA14" s="923">
        <f>ROUND(CF12*1.0636,1)</f>
        <v>636.3</v>
      </c>
      <c r="DB14" s="425"/>
      <c r="DC14" s="532" t="s">
        <v>1302</v>
      </c>
      <c r="DD14" s="533" t="s">
        <v>829</v>
      </c>
      <c r="DE14" s="893">
        <f t="shared" si="11"/>
        <v>827.2</v>
      </c>
      <c r="DF14" s="424"/>
      <c r="DG14" s="425"/>
      <c r="DH14" s="66" t="s">
        <v>863</v>
      </c>
      <c r="DI14" s="65">
        <f t="shared" si="2"/>
        <v>178.77</v>
      </c>
      <c r="DK14" s="108"/>
      <c r="DL14" s="461" t="s">
        <v>1414</v>
      </c>
      <c r="DM14" s="462" t="s">
        <v>932</v>
      </c>
      <c r="DN14" s="806">
        <f>VLOOKUP("TV COMISS GERAL 12 40H",RHE,10,FALSE)</f>
        <v>178.77</v>
      </c>
      <c r="DO14" s="29"/>
      <c r="DP14" s="461" t="s">
        <v>1363</v>
      </c>
      <c r="DQ14" s="462" t="s">
        <v>923</v>
      </c>
      <c r="DR14" s="806">
        <f>VLOOKUP("TV COMISS FAZENDA 1 04 40H",RHE,10,FALSE)</f>
        <v>178.77</v>
      </c>
      <c r="DS14" s="109"/>
      <c r="DU14" s="66" t="s">
        <v>863</v>
      </c>
      <c r="DV14" s="65">
        <f t="shared" si="3"/>
        <v>178.77</v>
      </c>
      <c r="DX14" s="108"/>
      <c r="DY14" s="461" t="s">
        <v>1413</v>
      </c>
      <c r="DZ14" s="462" t="s">
        <v>996</v>
      </c>
      <c r="EA14" s="806">
        <f t="shared" si="7"/>
        <v>155.15</v>
      </c>
      <c r="EB14" s="29"/>
      <c r="EC14" s="498" t="s">
        <v>1357</v>
      </c>
      <c r="ED14" s="462" t="s">
        <v>733</v>
      </c>
      <c r="EE14" s="806">
        <f t="shared" si="8"/>
        <v>444.83</v>
      </c>
      <c r="EF14" s="109"/>
      <c r="EH14" s="66" t="s">
        <v>863</v>
      </c>
      <c r="EI14" s="65">
        <f>ER19</f>
        <v>319.2</v>
      </c>
      <c r="EK14" s="108"/>
      <c r="EL14" s="461" t="s">
        <v>1410</v>
      </c>
      <c r="EM14" s="551" t="s">
        <v>775</v>
      </c>
      <c r="EN14" s="551" t="s">
        <v>8</v>
      </c>
      <c r="EO14" s="552">
        <v>0.54</v>
      </c>
      <c r="EP14" s="553">
        <v>40</v>
      </c>
      <c r="EQ14" s="529" t="s">
        <v>781</v>
      </c>
      <c r="ER14" s="806">
        <f>VLOOKUP("TV GD MAG VICE 01 40H",RHE,10,FALSE)</f>
        <v>269.34</v>
      </c>
      <c r="ES14" s="109"/>
      <c r="EU14" s="108"/>
      <c r="EV14" s="461" t="s">
        <v>1304</v>
      </c>
      <c r="EW14" s="551" t="s">
        <v>774</v>
      </c>
      <c r="EX14" s="551" t="s">
        <v>679</v>
      </c>
      <c r="EY14" s="551">
        <v>0.4</v>
      </c>
      <c r="EZ14" s="553">
        <v>30</v>
      </c>
      <c r="FA14" s="806">
        <f>VLOOKUP("TV GD MAG ANEXO III 01 30H",RHE,10,FALSE)</f>
        <v>199.51</v>
      </c>
      <c r="FB14" s="109"/>
      <c r="FD14" s="66" t="s">
        <v>285</v>
      </c>
      <c r="FE14" s="65">
        <f>FJ15</f>
        <v>998.28</v>
      </c>
      <c r="FG14" s="108"/>
      <c r="FH14" s="1303"/>
      <c r="FI14" s="1182"/>
      <c r="FJ14" s="1338">
        <f>VLOOKUP("TV GD MAG ANEXO III 01 20H",RHE,10,FALSE)</f>
        <v>134.67</v>
      </c>
      <c r="FK14" s="109"/>
      <c r="FN14" s="108"/>
      <c r="FO14" s="536" t="s">
        <v>56</v>
      </c>
      <c r="FP14" s="805">
        <f>ROUNDDOWN(DR12*1.6,2)</f>
        <v>171.69</v>
      </c>
      <c r="FQ14" s="869"/>
      <c r="FR14" s="948" t="s">
        <v>1076</v>
      </c>
      <c r="FS14" s="805">
        <f>ROUNDDOWN(FV14*0.2,2)</f>
        <v>142.34</v>
      </c>
      <c r="FT14" s="949"/>
      <c r="FU14" s="950" t="s">
        <v>429</v>
      </c>
      <c r="FV14" s="951">
        <f>ROUNDDOWN(AU44*1.6,2)</f>
        <v>711.72</v>
      </c>
      <c r="FW14" s="109"/>
      <c r="FY14" s="81"/>
      <c r="FZ14" s="81"/>
      <c r="GA14" s="81"/>
      <c r="GB14" s="81"/>
      <c r="GC14" s="81"/>
      <c r="GD14" s="81"/>
      <c r="GE14" s="81"/>
      <c r="GF14" s="69"/>
    </row>
    <row r="15" spans="8:188" ht="12.75" thickBot="1">
      <c r="H15" s="66" t="s">
        <v>58</v>
      </c>
      <c r="I15" s="65">
        <f>O17</f>
        <v>558.64</v>
      </c>
      <c r="K15" s="108"/>
      <c r="M15" s="1303" t="s">
        <v>1410</v>
      </c>
      <c r="N15" s="1182" t="s">
        <v>1337</v>
      </c>
      <c r="O15" s="1338">
        <f>VLOOKUP("TV MAGIST Q UNICO 02 20H",RHE,10,FALSE)</f>
        <v>520.26</v>
      </c>
      <c r="Q15" s="109"/>
      <c r="S15" s="67" t="s">
        <v>120</v>
      </c>
      <c r="T15" s="322">
        <f>Z18</f>
        <v>2990.5</v>
      </c>
      <c r="V15" s="108"/>
      <c r="W15" s="318"/>
      <c r="X15" s="480" t="s">
        <v>1317</v>
      </c>
      <c r="Y15" s="460" t="s">
        <v>359</v>
      </c>
      <c r="Z15" s="940">
        <v>2281.6</v>
      </c>
      <c r="AA15" s="30"/>
      <c r="AB15" s="109"/>
      <c r="AD15" s="66" t="s">
        <v>60</v>
      </c>
      <c r="AE15" s="65">
        <f t="shared" si="9"/>
        <v>5278</v>
      </c>
      <c r="AG15" s="108"/>
      <c r="AH15" s="30"/>
      <c r="AI15" s="461" t="s">
        <v>1413</v>
      </c>
      <c r="AJ15" s="462" t="s">
        <v>1212</v>
      </c>
      <c r="AK15" s="943">
        <v>3017.9</v>
      </c>
      <c r="AL15" s="451"/>
      <c r="AM15" s="109"/>
      <c r="AO15" s="66" t="s">
        <v>865</v>
      </c>
      <c r="AP15" s="65">
        <f t="shared" si="0"/>
        <v>562.93</v>
      </c>
      <c r="AR15" s="108"/>
      <c r="AS15" s="461" t="s">
        <v>1415</v>
      </c>
      <c r="AT15" s="462" t="s">
        <v>1135</v>
      </c>
      <c r="AU15" s="806">
        <f>VLOOKUP("TV COMISS GERAL 13 40H",RHE,10,FALSE)</f>
        <v>562.93</v>
      </c>
      <c r="AV15" s="29"/>
      <c r="AW15" s="498" t="s">
        <v>1364</v>
      </c>
      <c r="AX15" s="883" t="s">
        <v>1167</v>
      </c>
      <c r="AY15" s="938">
        <v>4389.2</v>
      </c>
      <c r="AZ15" s="109"/>
      <c r="BB15" s="70"/>
      <c r="BC15" s="498" t="s">
        <v>1415</v>
      </c>
      <c r="BD15" s="503" t="s">
        <v>394</v>
      </c>
      <c r="BE15" s="873">
        <f>VLOOKUP("TV COMISS DEFENS 07 40H",RHE,10,FALSE)</f>
        <v>514.85</v>
      </c>
      <c r="BF15" s="71"/>
      <c r="BI15" s="108"/>
      <c r="BJ15" s="461" t="s">
        <v>1415</v>
      </c>
      <c r="BK15" s="462" t="s">
        <v>1135</v>
      </c>
      <c r="BL15" s="809">
        <f t="shared" si="1"/>
        <v>562.93</v>
      </c>
      <c r="BM15" s="806">
        <f>SUS03</f>
        <v>11.6</v>
      </c>
      <c r="BN15" s="71"/>
      <c r="BP15" s="108"/>
      <c r="BQ15" s="145" t="s">
        <v>1415</v>
      </c>
      <c r="BR15" s="52" t="str">
        <f t="shared" si="4"/>
        <v>CC 07 - 40 h </v>
      </c>
      <c r="BS15" s="30" t="e">
        <f>'01'!#REF!</f>
        <v>#REF!</v>
      </c>
      <c r="BT15" s="29"/>
      <c r="BU15" s="142" t="s">
        <v>1364</v>
      </c>
      <c r="BV15" s="29" t="str">
        <f t="shared" si="5"/>
        <v>CC TC 12 </v>
      </c>
      <c r="BW15" s="29" t="s">
        <v>1079</v>
      </c>
      <c r="BX15" s="109"/>
      <c r="BZ15" s="66" t="s">
        <v>59</v>
      </c>
      <c r="CA15" s="65">
        <f t="shared" si="6"/>
        <v>962.48</v>
      </c>
      <c r="CB15" s="29"/>
      <c r="CC15" s="70"/>
      <c r="CD15" s="532" t="s">
        <v>1413</v>
      </c>
      <c r="CE15" s="533" t="s">
        <v>59</v>
      </c>
      <c r="CF15" s="893">
        <f>VLOOKUP("TV MAGIST PL CARR 05 20H",RHE,10,FALSE)</f>
        <v>962.48</v>
      </c>
      <c r="CG15" s="29"/>
      <c r="CH15" s="532" t="s">
        <v>1305</v>
      </c>
      <c r="CI15" s="533" t="s">
        <v>1085</v>
      </c>
      <c r="CJ15" s="893">
        <f>VLOOKUP("TV MAGIST PL CARR 23 20H",RHE,10,FALSE)</f>
        <v>1251.22</v>
      </c>
      <c r="CK15" s="71"/>
      <c r="CL15" s="29"/>
      <c r="CM15" s="70"/>
      <c r="CN15" s="29"/>
      <c r="CO15" s="29"/>
      <c r="CP15" s="498" t="s">
        <v>1305</v>
      </c>
      <c r="CQ15" s="898">
        <f t="shared" si="12"/>
        <v>496.11</v>
      </c>
      <c r="CR15" s="131"/>
      <c r="CS15" s="29"/>
      <c r="CT15" s="71"/>
      <c r="CU15" s="66" t="s">
        <v>1078</v>
      </c>
      <c r="CV15" s="65">
        <f t="shared" si="10"/>
        <v>719.3</v>
      </c>
      <c r="CW15" s="425"/>
      <c r="CX15" s="423"/>
      <c r="CY15" s="532" t="s">
        <v>1411</v>
      </c>
      <c r="CZ15" s="533" t="s">
        <v>1078</v>
      </c>
      <c r="DA15" s="893">
        <f>ROUND(CF13*1.0636,1)</f>
        <v>719.3</v>
      </c>
      <c r="DB15" s="425"/>
      <c r="DC15" s="532" t="s">
        <v>1303</v>
      </c>
      <c r="DD15" s="533" t="s">
        <v>881</v>
      </c>
      <c r="DE15" s="893">
        <f t="shared" si="11"/>
        <v>935.1</v>
      </c>
      <c r="DF15" s="424"/>
      <c r="DG15" s="425"/>
      <c r="DH15" s="66" t="s">
        <v>865</v>
      </c>
      <c r="DI15" s="65">
        <f t="shared" si="2"/>
        <v>202.51</v>
      </c>
      <c r="DK15" s="108"/>
      <c r="DL15" s="461" t="s">
        <v>1415</v>
      </c>
      <c r="DM15" s="462" t="s">
        <v>933</v>
      </c>
      <c r="DN15" s="806">
        <f>VLOOKUP("TV COMISS GERAL 14 40H",RHE,10,FALSE)</f>
        <v>202.51</v>
      </c>
      <c r="DO15" s="29"/>
      <c r="DP15" s="461" t="s">
        <v>1364</v>
      </c>
      <c r="DQ15" s="462" t="s">
        <v>924</v>
      </c>
      <c r="DR15" s="806">
        <f>VLOOKUP("TV COMISS FAZENDA 1 06 40H",RHE,10,FALSE)</f>
        <v>317.38</v>
      </c>
      <c r="DS15" s="109"/>
      <c r="DU15" s="66" t="s">
        <v>865</v>
      </c>
      <c r="DV15" s="65">
        <f t="shared" si="3"/>
        <v>202.51</v>
      </c>
      <c r="DX15" s="108"/>
      <c r="DY15" s="461" t="s">
        <v>1414</v>
      </c>
      <c r="DZ15" s="462" t="s">
        <v>997</v>
      </c>
      <c r="EA15" s="806">
        <f t="shared" si="7"/>
        <v>178.77</v>
      </c>
      <c r="EB15" s="29"/>
      <c r="EC15" s="498" t="s">
        <v>1358</v>
      </c>
      <c r="ED15" s="462" t="s">
        <v>734</v>
      </c>
      <c r="EE15" s="806">
        <f t="shared" si="8"/>
        <v>503.94</v>
      </c>
      <c r="EF15" s="109"/>
      <c r="EH15" s="66" t="s">
        <v>865</v>
      </c>
      <c r="EI15" s="65">
        <f>ER20</f>
        <v>299.26</v>
      </c>
      <c r="EK15" s="108"/>
      <c r="EL15" s="461" t="s">
        <v>1411</v>
      </c>
      <c r="EM15" s="551" t="s">
        <v>774</v>
      </c>
      <c r="EN15" s="551" t="s">
        <v>8</v>
      </c>
      <c r="EO15" s="552">
        <v>0.47</v>
      </c>
      <c r="EP15" s="553">
        <v>30</v>
      </c>
      <c r="EQ15" s="529" t="s">
        <v>781</v>
      </c>
      <c r="ER15" s="806">
        <f>VLOOKUP("TV GD MAG DIRETOR 01 30H",RHE,10,FALSE)</f>
        <v>234.42</v>
      </c>
      <c r="ES15" s="109"/>
      <c r="EU15" s="108"/>
      <c r="EV15" s="461" t="s">
        <v>1305</v>
      </c>
      <c r="EW15" s="551" t="s">
        <v>774</v>
      </c>
      <c r="EX15" s="551" t="s">
        <v>679</v>
      </c>
      <c r="EY15" s="551">
        <v>0.54</v>
      </c>
      <c r="EZ15" s="553">
        <v>40</v>
      </c>
      <c r="FA15" s="806">
        <f>VLOOKUP("TV GD MAG ANEXO III 01 40H",RHE,10,FALSE)</f>
        <v>269.34</v>
      </c>
      <c r="FB15" s="109"/>
      <c r="FD15" s="66" t="s">
        <v>289</v>
      </c>
      <c r="FE15" s="65">
        <f>FJ17</f>
        <v>1497.42</v>
      </c>
      <c r="FG15" s="108"/>
      <c r="FH15" s="1303" t="s">
        <v>1410</v>
      </c>
      <c r="FI15" s="1182" t="s">
        <v>631</v>
      </c>
      <c r="FJ15" s="1338">
        <f>VLOOKUP("TV COMISS IPERGS 16 40H",RHE,10,FALSE)</f>
        <v>998.28</v>
      </c>
      <c r="FK15" s="109"/>
      <c r="FN15" s="108"/>
      <c r="FO15" s="538" t="s">
        <v>711</v>
      </c>
      <c r="FP15" s="820">
        <f>ROUNDDOWN(DR13*1.6,2)</f>
        <v>248.24</v>
      </c>
      <c r="FQ15" s="949"/>
      <c r="FR15" s="952" t="s">
        <v>57</v>
      </c>
      <c r="FS15" s="806">
        <f>ROUNDDOWN(FV14*0.3,2)</f>
        <v>213.51</v>
      </c>
      <c r="FT15" s="949"/>
      <c r="FU15" s="953"/>
      <c r="FV15" s="949"/>
      <c r="FW15" s="109"/>
      <c r="FY15" s="81"/>
      <c r="FZ15" s="81"/>
      <c r="GA15" s="81"/>
      <c r="GB15" s="81"/>
      <c r="GC15" s="81"/>
      <c r="GD15" s="81"/>
      <c r="GE15" s="81"/>
      <c r="GF15" s="69"/>
    </row>
    <row r="16" spans="8:196" ht="12.75" customHeight="1">
      <c r="H16" s="66" t="s">
        <v>150</v>
      </c>
      <c r="I16" s="65">
        <f>O19</f>
        <v>539.22</v>
      </c>
      <c r="K16" s="108"/>
      <c r="L16" s="29"/>
      <c r="M16" s="1303"/>
      <c r="N16" s="1182"/>
      <c r="O16" s="1338"/>
      <c r="P16" s="29"/>
      <c r="Q16" s="109"/>
      <c r="S16" s="86"/>
      <c r="T16" s="138"/>
      <c r="V16" s="108"/>
      <c r="W16" s="318"/>
      <c r="X16" s="498" t="s">
        <v>1381</v>
      </c>
      <c r="Y16" s="462" t="s">
        <v>360</v>
      </c>
      <c r="Z16" s="938">
        <v>5278</v>
      </c>
      <c r="AA16" s="30"/>
      <c r="AB16" s="109"/>
      <c r="AD16" s="66" t="s">
        <v>63</v>
      </c>
      <c r="AE16" s="65">
        <f t="shared" si="9"/>
        <v>3017.9</v>
      </c>
      <c r="AG16" s="108"/>
      <c r="AH16" s="30"/>
      <c r="AI16" s="461" t="s">
        <v>1414</v>
      </c>
      <c r="AJ16" s="462" t="s">
        <v>1213</v>
      </c>
      <c r="AK16" s="943">
        <v>2857.7</v>
      </c>
      <c r="AL16" s="451"/>
      <c r="AM16" s="109"/>
      <c r="AO16" s="66" t="s">
        <v>867</v>
      </c>
      <c r="AP16" s="65">
        <f t="shared" si="0"/>
        <v>850.21</v>
      </c>
      <c r="AR16" s="108"/>
      <c r="AS16" s="461" t="s">
        <v>1416</v>
      </c>
      <c r="AT16" s="462" t="s">
        <v>1136</v>
      </c>
      <c r="AU16" s="806">
        <f>VLOOKUP("TV COMISS GERAL 15 40H",RHE,10,FALSE)</f>
        <v>850.21</v>
      </c>
      <c r="AV16" s="29"/>
      <c r="AW16" s="543" t="s">
        <v>1365</v>
      </c>
      <c r="AX16" s="544" t="s">
        <v>1168</v>
      </c>
      <c r="AY16" s="947">
        <f>DN51</f>
        <v>1844.87</v>
      </c>
      <c r="AZ16" s="109"/>
      <c r="BB16" s="70"/>
      <c r="BC16" s="498" t="s">
        <v>1416</v>
      </c>
      <c r="BD16" s="503" t="s">
        <v>395</v>
      </c>
      <c r="BE16" s="873">
        <f>VLOOKUP("TV COMISS DEFENS 08 40H",RHE,10,FALSE)</f>
        <v>183.09</v>
      </c>
      <c r="BF16" s="71"/>
      <c r="BI16" s="108"/>
      <c r="BJ16" s="461" t="s">
        <v>1416</v>
      </c>
      <c r="BK16" s="462" t="s">
        <v>1136</v>
      </c>
      <c r="BL16" s="809">
        <f t="shared" si="1"/>
        <v>850.21</v>
      </c>
      <c r="BM16" s="806">
        <f>SUS04</f>
        <v>13.4</v>
      </c>
      <c r="BN16" s="71"/>
      <c r="BP16" s="108"/>
      <c r="BQ16" s="145" t="s">
        <v>1416</v>
      </c>
      <c r="BR16" s="52" t="str">
        <f t="shared" si="4"/>
        <v>CC 08 - 40 h</v>
      </c>
      <c r="BS16" s="30" t="e">
        <f>'01'!#REF!</f>
        <v>#REF!</v>
      </c>
      <c r="BT16" s="29"/>
      <c r="BU16" s="29"/>
      <c r="BV16" s="29" t="s">
        <v>1286</v>
      </c>
      <c r="BW16" s="29" t="s">
        <v>1079</v>
      </c>
      <c r="BX16" s="109"/>
      <c r="BZ16" s="66" t="s">
        <v>297</v>
      </c>
      <c r="CA16" s="65">
        <f t="shared" si="6"/>
        <v>1040.52</v>
      </c>
      <c r="CB16" s="29"/>
      <c r="CC16" s="70"/>
      <c r="CD16" s="534" t="s">
        <v>1414</v>
      </c>
      <c r="CE16" s="535" t="s">
        <v>297</v>
      </c>
      <c r="CF16" s="894">
        <f>VLOOKUP("TV MAGIST PL CARR 06 20H",RHE,10,FALSE)</f>
        <v>1040.52</v>
      </c>
      <c r="CG16" s="29"/>
      <c r="CH16" s="534" t="s">
        <v>1306</v>
      </c>
      <c r="CI16" s="535" t="s">
        <v>830</v>
      </c>
      <c r="CJ16" s="894">
        <f>VLOOKUP("TV MAGIST PL CARR 24 20H",RHE,10,FALSE)</f>
        <v>1352.67</v>
      </c>
      <c r="CK16" s="71"/>
      <c r="CL16" s="29"/>
      <c r="CM16" s="70"/>
      <c r="CN16" s="29"/>
      <c r="CO16" s="29"/>
      <c r="CP16" s="498" t="s">
        <v>1306</v>
      </c>
      <c r="CQ16" s="898">
        <f t="shared" si="12"/>
        <v>517.6800000000001</v>
      </c>
      <c r="CR16" s="131"/>
      <c r="CS16" s="29"/>
      <c r="CT16" s="71"/>
      <c r="CU16" s="66" t="s">
        <v>55</v>
      </c>
      <c r="CV16" s="65">
        <f t="shared" si="10"/>
        <v>830</v>
      </c>
      <c r="CW16" s="425"/>
      <c r="CX16" s="423"/>
      <c r="CY16" s="532" t="s">
        <v>1412</v>
      </c>
      <c r="CZ16" s="533" t="s">
        <v>55</v>
      </c>
      <c r="DA16" s="893">
        <f>ROUND(CF14*1.0636,1)</f>
        <v>830</v>
      </c>
      <c r="DB16" s="425"/>
      <c r="DC16" s="532" t="s">
        <v>1304</v>
      </c>
      <c r="DD16" s="533" t="s">
        <v>1084</v>
      </c>
      <c r="DE16" s="893">
        <f t="shared" si="11"/>
        <v>1079</v>
      </c>
      <c r="DF16" s="424"/>
      <c r="DG16" s="425"/>
      <c r="DH16" s="66" t="s">
        <v>867</v>
      </c>
      <c r="DI16" s="65">
        <f t="shared" si="2"/>
        <v>317.26</v>
      </c>
      <c r="DK16" s="108"/>
      <c r="DL16" s="461" t="s">
        <v>1416</v>
      </c>
      <c r="DM16" s="462" t="s">
        <v>934</v>
      </c>
      <c r="DN16" s="806">
        <f>VLOOKUP("TV COMISS GERAL 16 40H",RHE,10,FALSE)</f>
        <v>317.26</v>
      </c>
      <c r="DO16" s="29"/>
      <c r="DP16" s="461" t="s">
        <v>1365</v>
      </c>
      <c r="DQ16" s="462" t="s">
        <v>925</v>
      </c>
      <c r="DR16" s="806">
        <f>VLOOKUP("TV COMISS FAZENDA 2 04 40H",RHE,10,FALSE)</f>
        <v>499.14</v>
      </c>
      <c r="DS16" s="109"/>
      <c r="DU16" s="66" t="s">
        <v>867</v>
      </c>
      <c r="DV16" s="65">
        <f t="shared" si="3"/>
        <v>317.26</v>
      </c>
      <c r="DX16" s="108"/>
      <c r="DY16" s="461" t="s">
        <v>1415</v>
      </c>
      <c r="DZ16" s="462" t="s">
        <v>998</v>
      </c>
      <c r="EA16" s="806">
        <f t="shared" si="7"/>
        <v>202.51</v>
      </c>
      <c r="EB16" s="29"/>
      <c r="EC16" s="498" t="s">
        <v>1359</v>
      </c>
      <c r="ED16" s="462" t="s">
        <v>735</v>
      </c>
      <c r="EE16" s="806">
        <f t="shared" si="8"/>
        <v>562.93</v>
      </c>
      <c r="EF16" s="109"/>
      <c r="EH16" s="66" t="s">
        <v>867</v>
      </c>
      <c r="EI16" s="65">
        <f>ER21</f>
        <v>399.02</v>
      </c>
      <c r="EK16" s="108"/>
      <c r="EL16" s="464" t="s">
        <v>1412</v>
      </c>
      <c r="EM16" s="539" t="s">
        <v>774</v>
      </c>
      <c r="EN16" s="539" t="s">
        <v>8</v>
      </c>
      <c r="EO16" s="554">
        <v>0.63</v>
      </c>
      <c r="EP16" s="555">
        <v>40</v>
      </c>
      <c r="EQ16" s="556" t="s">
        <v>782</v>
      </c>
      <c r="ER16" s="820">
        <f>VLOOKUP("TV GD MAG DIRETOR 01 40H",RHE,10,FALSE)</f>
        <v>314.23</v>
      </c>
      <c r="ES16" s="109"/>
      <c r="EU16" s="108"/>
      <c r="EV16" s="461" t="s">
        <v>1306</v>
      </c>
      <c r="EW16" s="551" t="s">
        <v>774</v>
      </c>
      <c r="EX16" s="551" t="s">
        <v>680</v>
      </c>
      <c r="EY16" s="551">
        <v>0.32</v>
      </c>
      <c r="EZ16" s="553">
        <v>20</v>
      </c>
      <c r="FA16" s="806">
        <f>VLOOKUP("TV GD MAG ANEXO III 02 20H",RHE,10,FALSE)</f>
        <v>159.6</v>
      </c>
      <c r="FB16" s="109"/>
      <c r="FD16" s="66" t="s">
        <v>60</v>
      </c>
      <c r="FE16" s="65">
        <f>FJ19</f>
        <v>1996.56</v>
      </c>
      <c r="FG16" s="108"/>
      <c r="FH16" s="1303"/>
      <c r="FI16" s="1182"/>
      <c r="FJ16" s="1338">
        <f>VLOOKUP("TV GD MAG ANEXO III 01 20H",RHE,10,FALSE)</f>
        <v>134.67</v>
      </c>
      <c r="FK16" s="109"/>
      <c r="FN16" s="108"/>
      <c r="FO16" s="29"/>
      <c r="FP16" s="869"/>
      <c r="FQ16" s="949"/>
      <c r="FR16" s="952" t="s">
        <v>298</v>
      </c>
      <c r="FS16" s="806">
        <f>ROUNDDOWN(FV14*0.35,2)</f>
        <v>249.1</v>
      </c>
      <c r="FT16" s="949"/>
      <c r="FU16" s="869"/>
      <c r="FV16" s="869"/>
      <c r="FW16" s="109"/>
      <c r="FY16" s="81"/>
      <c r="FZ16" s="81"/>
      <c r="GA16" s="81"/>
      <c r="GB16" s="81"/>
      <c r="GC16" s="81"/>
      <c r="GD16" s="81"/>
      <c r="GE16" s="81"/>
      <c r="GF16" s="69"/>
      <c r="GJ16" s="126"/>
      <c r="GN16" s="126"/>
    </row>
    <row r="17" spans="8:188" ht="12.75" thickBot="1">
      <c r="H17" s="67" t="s">
        <v>210</v>
      </c>
      <c r="I17" s="134">
        <f>O21</f>
        <v>738.59</v>
      </c>
      <c r="K17" s="108"/>
      <c r="M17" s="1303" t="s">
        <v>1411</v>
      </c>
      <c r="N17" s="1182" t="s">
        <v>1338</v>
      </c>
      <c r="O17" s="1338">
        <f>VLOOKUP("TV MAGIST Q UNICO 03 20H",RHE,10,FALSE)</f>
        <v>558.64</v>
      </c>
      <c r="Q17" s="109"/>
      <c r="S17" s="86"/>
      <c r="T17" s="138"/>
      <c r="V17" s="108"/>
      <c r="W17" s="318"/>
      <c r="X17" s="498" t="s">
        <v>1386</v>
      </c>
      <c r="Y17" s="462" t="s">
        <v>357</v>
      </c>
      <c r="Z17" s="938">
        <v>542.6</v>
      </c>
      <c r="AA17" s="30"/>
      <c r="AB17" s="109"/>
      <c r="AD17" s="66" t="s">
        <v>863</v>
      </c>
      <c r="AE17" s="65">
        <f t="shared" si="9"/>
        <v>2857.7</v>
      </c>
      <c r="AG17" s="108"/>
      <c r="AH17" s="30"/>
      <c r="AI17" s="461" t="s">
        <v>1415</v>
      </c>
      <c r="AJ17" s="462" t="s">
        <v>1214</v>
      </c>
      <c r="AK17" s="943">
        <v>2711.5</v>
      </c>
      <c r="AL17" s="451"/>
      <c r="AM17" s="109"/>
      <c r="AO17" s="66" t="s">
        <v>868</v>
      </c>
      <c r="AP17" s="65">
        <f t="shared" si="0"/>
        <v>1090.37</v>
      </c>
      <c r="AR17" s="108"/>
      <c r="AS17" s="461" t="s">
        <v>1417</v>
      </c>
      <c r="AT17" s="462" t="s">
        <v>1137</v>
      </c>
      <c r="AU17" s="806">
        <f>VLOOKUP("TV COMISS GERAL 17 40H",RHE,10,FALSE)</f>
        <v>1090.37</v>
      </c>
      <c r="AV17" s="29"/>
      <c r="AW17" s="142" t="s">
        <v>1366</v>
      </c>
      <c r="AX17" s="53" t="s">
        <v>1169</v>
      </c>
      <c r="AY17" s="910">
        <f>DN52</f>
        <v>2049.85</v>
      </c>
      <c r="AZ17" s="109"/>
      <c r="BB17" s="70"/>
      <c r="BC17" s="498" t="s">
        <v>1417</v>
      </c>
      <c r="BD17" s="503" t="s">
        <v>396</v>
      </c>
      <c r="BE17" s="873">
        <f>VLOOKUP("TV COMISS DEFENS 09 40H",RHE,10,FALSE)</f>
        <v>599.74</v>
      </c>
      <c r="BF17" s="71"/>
      <c r="BI17" s="108"/>
      <c r="BJ17" s="461" t="s">
        <v>1417</v>
      </c>
      <c r="BK17" s="462" t="s">
        <v>1137</v>
      </c>
      <c r="BL17" s="809">
        <f t="shared" si="1"/>
        <v>1090.37</v>
      </c>
      <c r="BM17" s="806">
        <f>SUS04</f>
        <v>13.4</v>
      </c>
      <c r="BN17" s="71"/>
      <c r="BP17" s="108"/>
      <c r="BQ17" s="145" t="s">
        <v>1417</v>
      </c>
      <c r="BR17" s="52" t="str">
        <f t="shared" si="4"/>
        <v>CC 09 - 40 h </v>
      </c>
      <c r="BS17" s="30" t="s">
        <v>1079</v>
      </c>
      <c r="BT17" s="29"/>
      <c r="BU17" s="29"/>
      <c r="BV17" s="29" t="s">
        <v>1287</v>
      </c>
      <c r="BW17" s="29" t="s">
        <v>1079</v>
      </c>
      <c r="BX17" s="109"/>
      <c r="BZ17" s="66" t="s">
        <v>299</v>
      </c>
      <c r="CA17" s="65">
        <f aca="true" t="shared" si="13" ref="CA17:CA22">CF18</f>
        <v>572.28</v>
      </c>
      <c r="CB17" s="29"/>
      <c r="CC17" s="70"/>
      <c r="CF17" s="832"/>
      <c r="CJ17" s="832"/>
      <c r="CK17" s="71"/>
      <c r="CL17" s="29"/>
      <c r="CM17" s="70"/>
      <c r="CN17" s="29"/>
      <c r="CO17" s="29"/>
      <c r="CP17" s="498" t="s">
        <v>1307</v>
      </c>
      <c r="CQ17" s="898">
        <f t="shared" si="12"/>
        <v>539.25</v>
      </c>
      <c r="CR17" s="29"/>
      <c r="CS17" s="29"/>
      <c r="CT17" s="71"/>
      <c r="CU17" s="66" t="s">
        <v>59</v>
      </c>
      <c r="CV17" s="65">
        <f t="shared" si="10"/>
        <v>1023.7</v>
      </c>
      <c r="CW17" s="425"/>
      <c r="CX17" s="423"/>
      <c r="CY17" s="532" t="s">
        <v>1413</v>
      </c>
      <c r="CZ17" s="533" t="s">
        <v>59</v>
      </c>
      <c r="DA17" s="893">
        <f>ROUND(CF15*1.0636,1)</f>
        <v>1023.7</v>
      </c>
      <c r="DB17" s="425"/>
      <c r="DC17" s="532" t="s">
        <v>1305</v>
      </c>
      <c r="DD17" s="533" t="s">
        <v>1085</v>
      </c>
      <c r="DE17" s="893">
        <f t="shared" si="11"/>
        <v>1330.8</v>
      </c>
      <c r="DF17" s="424"/>
      <c r="DG17" s="425"/>
      <c r="DH17" s="66" t="s">
        <v>868</v>
      </c>
      <c r="DI17" s="65">
        <f t="shared" si="2"/>
        <v>436.56</v>
      </c>
      <c r="DK17" s="108"/>
      <c r="DL17" s="461" t="s">
        <v>1417</v>
      </c>
      <c r="DM17" s="462" t="s">
        <v>935</v>
      </c>
      <c r="DN17" s="806">
        <f>VLOOKUP("TV COMISS GERAL 18 40H",RHE,10,FALSE)</f>
        <v>436.56</v>
      </c>
      <c r="DO17" s="29"/>
      <c r="DP17" s="461" t="s">
        <v>1366</v>
      </c>
      <c r="DQ17" s="462" t="s">
        <v>926</v>
      </c>
      <c r="DR17" s="806">
        <f>VLOOKUP("TV COMISS FAZENDA 1 08 40H",RHE,10,FALSE)</f>
        <v>555.74</v>
      </c>
      <c r="DS17" s="109"/>
      <c r="DU17" s="66" t="s">
        <v>868</v>
      </c>
      <c r="DV17" s="65">
        <f t="shared" si="3"/>
        <v>748.71</v>
      </c>
      <c r="DX17" s="108"/>
      <c r="DY17" s="461" t="s">
        <v>1416</v>
      </c>
      <c r="DZ17" s="462" t="s">
        <v>999</v>
      </c>
      <c r="EA17" s="806">
        <f t="shared" si="7"/>
        <v>317.26</v>
      </c>
      <c r="EB17" s="29"/>
      <c r="EC17" s="498" t="s">
        <v>1360</v>
      </c>
      <c r="ED17" s="462" t="s">
        <v>736</v>
      </c>
      <c r="EE17" s="806">
        <f t="shared" si="8"/>
        <v>850.21</v>
      </c>
      <c r="EF17" s="109"/>
      <c r="EH17" s="66" t="s">
        <v>868</v>
      </c>
      <c r="EI17" s="65">
        <f>ER23</f>
        <v>199.51</v>
      </c>
      <c r="EK17" s="108"/>
      <c r="ER17" s="832"/>
      <c r="ES17" s="109"/>
      <c r="EU17" s="108"/>
      <c r="EV17" s="461" t="s">
        <v>1307</v>
      </c>
      <c r="EW17" s="551" t="s">
        <v>774</v>
      </c>
      <c r="EX17" s="551" t="s">
        <v>680</v>
      </c>
      <c r="EY17" s="551">
        <v>0.48</v>
      </c>
      <c r="EZ17" s="553">
        <v>30</v>
      </c>
      <c r="FA17" s="806">
        <f>VLOOKUP("TV GD MAG ANEXO III 02 30H",RHE,10,FALSE)</f>
        <v>239.41</v>
      </c>
      <c r="FB17" s="109"/>
      <c r="FD17" s="66" t="s">
        <v>63</v>
      </c>
      <c r="FE17" s="65">
        <f>FJ21</f>
        <v>2495.7</v>
      </c>
      <c r="FG17" s="108"/>
      <c r="FH17" s="1303" t="s">
        <v>1411</v>
      </c>
      <c r="FI17" s="1182" t="s">
        <v>632</v>
      </c>
      <c r="FJ17" s="1338">
        <f>VLOOKUP("TV COMISS IPERGS 17 40H",RHE,10,FALSE)</f>
        <v>1497.42</v>
      </c>
      <c r="FK17" s="109"/>
      <c r="FN17" s="108"/>
      <c r="FO17" s="29"/>
      <c r="FP17" s="869"/>
      <c r="FQ17" s="949"/>
      <c r="FR17" s="952" t="s">
        <v>712</v>
      </c>
      <c r="FS17" s="806">
        <f>ROUNDDOWN(FV14*0.5,2)</f>
        <v>355.86</v>
      </c>
      <c r="FT17" s="949"/>
      <c r="FU17" s="869"/>
      <c r="FV17" s="869"/>
      <c r="FW17" s="109"/>
      <c r="FY17" s="81"/>
      <c r="FZ17" s="81"/>
      <c r="GA17" s="81"/>
      <c r="GB17" s="81"/>
      <c r="GC17" s="81"/>
      <c r="GD17" s="81"/>
      <c r="GE17" s="81"/>
      <c r="GF17" s="69"/>
    </row>
    <row r="18" spans="8:188" ht="12.75" customHeight="1">
      <c r="H18" s="86"/>
      <c r="I18" s="87"/>
      <c r="K18" s="108"/>
      <c r="L18" s="29"/>
      <c r="M18" s="1303"/>
      <c r="N18" s="1182"/>
      <c r="O18" s="1338"/>
      <c r="P18" s="29"/>
      <c r="Q18" s="109"/>
      <c r="S18" s="29"/>
      <c r="T18" s="29"/>
      <c r="V18" s="108"/>
      <c r="W18" s="318"/>
      <c r="X18" s="500" t="s">
        <v>1387</v>
      </c>
      <c r="Y18" s="465" t="s">
        <v>358</v>
      </c>
      <c r="Z18" s="941">
        <v>2990.5</v>
      </c>
      <c r="AA18" s="30"/>
      <c r="AB18" s="109"/>
      <c r="AD18" s="66" t="s">
        <v>865</v>
      </c>
      <c r="AE18" s="65">
        <f t="shared" si="9"/>
        <v>2711.5</v>
      </c>
      <c r="AG18" s="108"/>
      <c r="AH18" s="30"/>
      <c r="AI18" s="461" t="s">
        <v>1416</v>
      </c>
      <c r="AJ18" s="462" t="s">
        <v>1215</v>
      </c>
      <c r="AK18" s="943">
        <v>2666.6</v>
      </c>
      <c r="AL18" s="451"/>
      <c r="AM18" s="109"/>
      <c r="AO18" s="66" t="s">
        <v>869</v>
      </c>
      <c r="AP18" s="65">
        <f t="shared" si="0"/>
        <v>1247.56</v>
      </c>
      <c r="AR18" s="108"/>
      <c r="AS18" s="461" t="s">
        <v>1292</v>
      </c>
      <c r="AT18" s="462" t="s">
        <v>1138</v>
      </c>
      <c r="AU18" s="806">
        <f>VLOOKUP("TV COMISS GERAL 19 40H",RHE,10,FALSE)</f>
        <v>1247.56</v>
      </c>
      <c r="AV18" s="29"/>
      <c r="AW18" s="142" t="s">
        <v>1367</v>
      </c>
      <c r="AX18" s="53" t="s">
        <v>1170</v>
      </c>
      <c r="AY18" s="937">
        <v>5617.73</v>
      </c>
      <c r="AZ18" s="109"/>
      <c r="BB18" s="70"/>
      <c r="BC18" s="498" t="s">
        <v>1292</v>
      </c>
      <c r="BD18" s="503" t="s">
        <v>397</v>
      </c>
      <c r="BE18" s="873">
        <f>VLOOKUP("TV COMISS DEFENS 10 40H",RHE,10,FALSE)</f>
        <v>217.02</v>
      </c>
      <c r="BF18" s="71"/>
      <c r="BI18" s="108"/>
      <c r="BJ18" s="461" t="s">
        <v>1292</v>
      </c>
      <c r="BK18" s="462" t="s">
        <v>1138</v>
      </c>
      <c r="BL18" s="809">
        <f t="shared" si="1"/>
        <v>1247.56</v>
      </c>
      <c r="BM18" s="806">
        <f>SUS04</f>
        <v>13.4</v>
      </c>
      <c r="BN18" s="71"/>
      <c r="BP18" s="108"/>
      <c r="BQ18" s="145" t="s">
        <v>1292</v>
      </c>
      <c r="BR18" s="52" t="str">
        <f t="shared" si="4"/>
        <v>CC 10 - 40 h</v>
      </c>
      <c r="BS18" s="30" t="s">
        <v>1079</v>
      </c>
      <c r="BT18" s="29"/>
      <c r="BU18" s="29"/>
      <c r="BV18" s="29" t="s">
        <v>1288</v>
      </c>
      <c r="BW18" s="29" t="s">
        <v>1079</v>
      </c>
      <c r="BX18" s="109"/>
      <c r="BZ18" s="66" t="s">
        <v>710</v>
      </c>
      <c r="CA18" s="65">
        <f t="shared" si="13"/>
        <v>658.12</v>
      </c>
      <c r="CB18" s="29"/>
      <c r="CC18" s="70"/>
      <c r="CD18" s="530" t="s">
        <v>1415</v>
      </c>
      <c r="CE18" s="531" t="s">
        <v>299</v>
      </c>
      <c r="CF18" s="892">
        <f>VLOOKUP("TV MAGIST PL CARR 07 20H",RHE,10,FALSE)</f>
        <v>572.28</v>
      </c>
      <c r="CG18" s="29"/>
      <c r="CH18" s="530" t="s">
        <v>1307</v>
      </c>
      <c r="CI18" s="531" t="s">
        <v>831</v>
      </c>
      <c r="CJ18" s="892">
        <f>VLOOKUP("TV MAGIST PL CARR 25 20H",RHE,10,FALSE)</f>
        <v>728.36</v>
      </c>
      <c r="CK18" s="71"/>
      <c r="CL18" s="29"/>
      <c r="CM18" s="70"/>
      <c r="CN18" s="29"/>
      <c r="CO18" s="29"/>
      <c r="CP18" s="498" t="s">
        <v>1308</v>
      </c>
      <c r="CQ18" s="898">
        <f t="shared" si="12"/>
        <v>560.82</v>
      </c>
      <c r="CR18" s="131"/>
      <c r="CS18" s="29"/>
      <c r="CT18" s="71"/>
      <c r="CU18" s="66" t="s">
        <v>297</v>
      </c>
      <c r="CV18" s="65">
        <f t="shared" si="10"/>
        <v>1106.7</v>
      </c>
      <c r="CW18" s="425"/>
      <c r="CX18" s="423"/>
      <c r="CY18" s="534" t="s">
        <v>1414</v>
      </c>
      <c r="CZ18" s="535" t="s">
        <v>297</v>
      </c>
      <c r="DA18" s="894">
        <f>ROUND(CF16*1.0636,1)</f>
        <v>1106.7</v>
      </c>
      <c r="DB18" s="425"/>
      <c r="DC18" s="534" t="s">
        <v>1306</v>
      </c>
      <c r="DD18" s="535" t="s">
        <v>830</v>
      </c>
      <c r="DE18" s="894">
        <f t="shared" si="11"/>
        <v>1438.7</v>
      </c>
      <c r="DF18" s="424"/>
      <c r="DG18" s="425"/>
      <c r="DH18" s="66" t="s">
        <v>869</v>
      </c>
      <c r="DI18" s="65">
        <f t="shared" si="2"/>
        <v>499.14</v>
      </c>
      <c r="DK18" s="108"/>
      <c r="DL18" s="461" t="s">
        <v>1292</v>
      </c>
      <c r="DM18" s="462" t="s">
        <v>936</v>
      </c>
      <c r="DN18" s="806">
        <f>VLOOKUP("TV COMISS GERAL 20 40H",RHE,10,FALSE)</f>
        <v>499.14</v>
      </c>
      <c r="DO18" s="29"/>
      <c r="DP18" s="493" t="s">
        <v>1367</v>
      </c>
      <c r="DQ18" s="484" t="s">
        <v>909</v>
      </c>
      <c r="DR18" s="818">
        <f>VLOOKUP("TV COMISS FAZENDA 2 06 40H",RHE,10,FALSE)</f>
        <v>708.97</v>
      </c>
      <c r="DS18" s="109"/>
      <c r="DU18" s="66" t="s">
        <v>869</v>
      </c>
      <c r="DV18" s="65">
        <f t="shared" si="3"/>
        <v>998.28</v>
      </c>
      <c r="DX18" s="108"/>
      <c r="DY18" s="461" t="s">
        <v>1417</v>
      </c>
      <c r="DZ18" s="462" t="s">
        <v>1000</v>
      </c>
      <c r="EA18" s="806">
        <f>ROUNDDOWN(DN$18*1.5,2)</f>
        <v>748.71</v>
      </c>
      <c r="EB18" s="29"/>
      <c r="EC18" s="498" t="s">
        <v>1361</v>
      </c>
      <c r="ED18" s="462" t="s">
        <v>737</v>
      </c>
      <c r="EE18" s="806">
        <f t="shared" si="8"/>
        <v>1090.37</v>
      </c>
      <c r="EF18" s="109"/>
      <c r="EH18" s="66" t="s">
        <v>869</v>
      </c>
      <c r="EI18" s="65">
        <f>ER24</f>
        <v>399.02</v>
      </c>
      <c r="EK18" s="108"/>
      <c r="EL18" s="459" t="s">
        <v>1413</v>
      </c>
      <c r="EM18" s="537" t="s">
        <v>775</v>
      </c>
      <c r="EN18" s="537" t="s">
        <v>9</v>
      </c>
      <c r="EO18" s="549">
        <v>0.32</v>
      </c>
      <c r="EP18" s="550">
        <v>20</v>
      </c>
      <c r="EQ18" s="542" t="s">
        <v>780</v>
      </c>
      <c r="ER18" s="805">
        <f>VLOOKUP("TV GD MAG VICE 02 20H",RHE,10,FALSE)</f>
        <v>159.6</v>
      </c>
      <c r="ES18" s="109"/>
      <c r="EU18" s="108"/>
      <c r="EV18" s="461" t="s">
        <v>1308</v>
      </c>
      <c r="EW18" s="551" t="s">
        <v>774</v>
      </c>
      <c r="EX18" s="551" t="s">
        <v>680</v>
      </c>
      <c r="EY18" s="551">
        <v>0.65</v>
      </c>
      <c r="EZ18" s="553">
        <v>40</v>
      </c>
      <c r="FA18" s="806">
        <f>VLOOKUP("TV GD MAG ANEXO III 02 40H",RHE,10,FALSE)</f>
        <v>324.2</v>
      </c>
      <c r="FB18" s="109"/>
      <c r="FD18" s="66" t="s">
        <v>863</v>
      </c>
      <c r="FE18" s="65">
        <f>FJ23</f>
        <v>2994.84</v>
      </c>
      <c r="FG18" s="108"/>
      <c r="FH18" s="1303"/>
      <c r="FI18" s="1182"/>
      <c r="FJ18" s="1338">
        <f>VLOOKUP("TV GD MAG ANEXO III 01 20H",RHE,10,FALSE)</f>
        <v>134.67</v>
      </c>
      <c r="FK18" s="109"/>
      <c r="FN18" s="108"/>
      <c r="FO18" s="112"/>
      <c r="FP18" s="949"/>
      <c r="FQ18" s="949"/>
      <c r="FR18" s="954" t="s">
        <v>878</v>
      </c>
      <c r="FS18" s="820">
        <f>ROUNDDOWN(FV14*0.75,2)</f>
        <v>533.79</v>
      </c>
      <c r="FT18" s="949"/>
      <c r="FU18" s="953"/>
      <c r="FV18" s="949"/>
      <c r="FW18" s="109"/>
      <c r="FY18" s="81"/>
      <c r="FZ18" s="81"/>
      <c r="GA18" s="81"/>
      <c r="GB18" s="81"/>
      <c r="GC18" s="81"/>
      <c r="GD18" s="81"/>
      <c r="GE18" s="81"/>
      <c r="GF18" s="69"/>
    </row>
    <row r="19" spans="11:187" ht="12">
      <c r="K19" s="108"/>
      <c r="M19" s="1303" t="s">
        <v>1412</v>
      </c>
      <c r="N19" s="1182" t="s">
        <v>1339</v>
      </c>
      <c r="O19" s="1338">
        <f>VLOOKUP("TV MAGIST Q UNICO 04 20H",RHE,10,FALSE)</f>
        <v>539.22</v>
      </c>
      <c r="Q19" s="109"/>
      <c r="S19" s="29"/>
      <c r="T19" s="29"/>
      <c r="V19" s="108"/>
      <c r="W19" s="318"/>
      <c r="X19" s="30"/>
      <c r="Y19" s="29"/>
      <c r="Z19" s="318"/>
      <c r="AA19" s="30"/>
      <c r="AB19" s="109"/>
      <c r="AD19" s="66" t="s">
        <v>867</v>
      </c>
      <c r="AE19" s="65">
        <f t="shared" si="9"/>
        <v>2666.6</v>
      </c>
      <c r="AG19" s="108"/>
      <c r="AH19" s="30"/>
      <c r="AI19" s="461" t="s">
        <v>1417</v>
      </c>
      <c r="AJ19" s="462" t="s">
        <v>1216</v>
      </c>
      <c r="AK19" s="943">
        <v>2514.5</v>
      </c>
      <c r="AL19" s="451"/>
      <c r="AM19" s="109"/>
      <c r="AO19" s="66" t="s">
        <v>708</v>
      </c>
      <c r="AP19" s="65">
        <f t="shared" si="0"/>
        <v>1389.04</v>
      </c>
      <c r="AR19" s="108"/>
      <c r="AS19" s="461" t="s">
        <v>1293</v>
      </c>
      <c r="AT19" s="462" t="s">
        <v>1139</v>
      </c>
      <c r="AU19" s="806">
        <f>VLOOKUP("TV COMISS GERAL 21 40H",RHE,10,FALSE)</f>
        <v>1389.04</v>
      </c>
      <c r="AV19" s="29"/>
      <c r="AW19" s="142" t="s">
        <v>1368</v>
      </c>
      <c r="AX19" s="53" t="s">
        <v>1171</v>
      </c>
      <c r="AY19" s="937">
        <v>6586.9</v>
      </c>
      <c r="AZ19" s="109"/>
      <c r="BB19" s="70"/>
      <c r="BC19" s="498" t="s">
        <v>1293</v>
      </c>
      <c r="BD19" s="503" t="s">
        <v>398</v>
      </c>
      <c r="BE19" s="873">
        <f>VLOOKUP("TV COMISS DEFENS 11 40H",RHE,10,FALSE)</f>
        <v>682.47</v>
      </c>
      <c r="BF19" s="71"/>
      <c r="BI19" s="108"/>
      <c r="BJ19" s="461" t="s">
        <v>1293</v>
      </c>
      <c r="BK19" s="462" t="s">
        <v>1139</v>
      </c>
      <c r="BL19" s="809">
        <f t="shared" si="1"/>
        <v>1389.04</v>
      </c>
      <c r="BM19" s="806"/>
      <c r="BN19" s="71"/>
      <c r="BP19" s="108"/>
      <c r="BQ19" s="145" t="s">
        <v>1293</v>
      </c>
      <c r="BR19" s="52" t="str">
        <f t="shared" si="4"/>
        <v>CC 11 - 40 h </v>
      </c>
      <c r="BS19" s="30" t="s">
        <v>1079</v>
      </c>
      <c r="BT19" s="29"/>
      <c r="BU19" s="29"/>
      <c r="BV19" s="29" t="s">
        <v>1289</v>
      </c>
      <c r="BW19" s="29" t="s">
        <v>1079</v>
      </c>
      <c r="BX19" s="109"/>
      <c r="BZ19" s="66" t="s">
        <v>713</v>
      </c>
      <c r="CA19" s="65">
        <f t="shared" si="13"/>
        <v>743.97</v>
      </c>
      <c r="CB19" s="29"/>
      <c r="CC19" s="70"/>
      <c r="CD19" s="532" t="s">
        <v>1416</v>
      </c>
      <c r="CE19" s="533" t="s">
        <v>710</v>
      </c>
      <c r="CF19" s="893">
        <f>VLOOKUP("TV MAGIST PL CARR 08 20H",RHE,10,FALSE)</f>
        <v>658.12</v>
      </c>
      <c r="CG19" s="29"/>
      <c r="CH19" s="532" t="s">
        <v>1308</v>
      </c>
      <c r="CI19" s="533" t="s">
        <v>832</v>
      </c>
      <c r="CJ19" s="893">
        <f>VLOOKUP("TV MAGIST PL CARR 26 20H",RHE,10,FALSE)</f>
        <v>837.61</v>
      </c>
      <c r="CK19" s="71"/>
      <c r="CL19" s="29"/>
      <c r="CM19" s="70"/>
      <c r="CN19" s="29"/>
      <c r="CO19" s="29"/>
      <c r="CP19" s="498" t="s">
        <v>1309</v>
      </c>
      <c r="CQ19" s="898">
        <f t="shared" si="12"/>
        <v>582.39</v>
      </c>
      <c r="CR19" s="131"/>
      <c r="CS19" s="29"/>
      <c r="CT19" s="71"/>
      <c r="CU19" s="66" t="s">
        <v>299</v>
      </c>
      <c r="CV19" s="65">
        <f aca="true" t="shared" si="14" ref="CV19:CV24">DA20</f>
        <v>608.7</v>
      </c>
      <c r="CW19" s="425"/>
      <c r="CX19" s="423"/>
      <c r="CY19" s="409"/>
      <c r="CZ19" s="409"/>
      <c r="DA19" s="924"/>
      <c r="DB19" s="409"/>
      <c r="DC19" s="409"/>
      <c r="DD19" s="409"/>
      <c r="DE19" s="924"/>
      <c r="DF19" s="424"/>
      <c r="DG19" s="425"/>
      <c r="DH19" s="66" t="s">
        <v>708</v>
      </c>
      <c r="DI19" s="65">
        <f t="shared" si="2"/>
        <v>555.74</v>
      </c>
      <c r="DK19" s="108"/>
      <c r="DL19" s="461" t="s">
        <v>1293</v>
      </c>
      <c r="DM19" s="462" t="s">
        <v>937</v>
      </c>
      <c r="DN19" s="806">
        <f>VLOOKUP("TV COMISS GERAL 22 40H",RHE,10,FALSE)</f>
        <v>555.74</v>
      </c>
      <c r="DO19" s="29"/>
      <c r="DP19" s="497" t="s">
        <v>1368</v>
      </c>
      <c r="DQ19" s="489" t="s">
        <v>972</v>
      </c>
      <c r="DR19" s="818">
        <f>VLOOKUP("TV COMISS JUIZ INF 01 40H",RHE,10,FALSE)</f>
        <v>308.1</v>
      </c>
      <c r="DS19" s="109"/>
      <c r="DU19" s="66" t="s">
        <v>708</v>
      </c>
      <c r="DV19" s="65">
        <f t="shared" si="3"/>
        <v>1247.85</v>
      </c>
      <c r="DX19" s="108"/>
      <c r="DY19" s="461" t="s">
        <v>1292</v>
      </c>
      <c r="DZ19" s="462" t="s">
        <v>1001</v>
      </c>
      <c r="EA19" s="806">
        <f>ROUNDDOWN(DN$18*2,2)</f>
        <v>998.28</v>
      </c>
      <c r="EB19" s="29"/>
      <c r="EC19" s="498" t="s">
        <v>1362</v>
      </c>
      <c r="ED19" s="462" t="s">
        <v>738</v>
      </c>
      <c r="EE19" s="806">
        <f t="shared" si="8"/>
        <v>1247.56</v>
      </c>
      <c r="EF19" s="109"/>
      <c r="EH19" s="66" t="s">
        <v>708</v>
      </c>
      <c r="EI19" s="65">
        <f>ER25</f>
        <v>359.12</v>
      </c>
      <c r="EK19" s="108"/>
      <c r="EL19" s="461" t="s">
        <v>1414</v>
      </c>
      <c r="EM19" s="551" t="s">
        <v>775</v>
      </c>
      <c r="EN19" s="551" t="s">
        <v>9</v>
      </c>
      <c r="EO19" s="552">
        <v>0.32</v>
      </c>
      <c r="EP19" s="553">
        <v>40</v>
      </c>
      <c r="EQ19" s="529" t="s">
        <v>783</v>
      </c>
      <c r="ER19" s="806">
        <f>VLOOKUP("TV GD MAG VICE 02 40H",RHE,10,FALSE)</f>
        <v>319.2</v>
      </c>
      <c r="ES19" s="109"/>
      <c r="EU19" s="108"/>
      <c r="EV19" s="461" t="s">
        <v>1309</v>
      </c>
      <c r="EW19" s="551" t="s">
        <v>774</v>
      </c>
      <c r="EX19" s="551" t="s">
        <v>681</v>
      </c>
      <c r="EY19" s="551">
        <v>0.38</v>
      </c>
      <c r="EZ19" s="553">
        <v>20</v>
      </c>
      <c r="FA19" s="806">
        <f>VLOOKUP("TV GD MAG ANEXO III 03 20H",RHE,10,FALSE)</f>
        <v>189.53</v>
      </c>
      <c r="FB19" s="109"/>
      <c r="FD19" s="66" t="s">
        <v>865</v>
      </c>
      <c r="FE19" s="65">
        <f>FJ25</f>
        <v>0</v>
      </c>
      <c r="FG19" s="108"/>
      <c r="FH19" s="1303" t="s">
        <v>1412</v>
      </c>
      <c r="FI19" s="1182" t="s">
        <v>633</v>
      </c>
      <c r="FJ19" s="1338">
        <f>VLOOKUP("TV COMISS IPERGS 18 40H",RHE,10,FALSE)</f>
        <v>1996.56</v>
      </c>
      <c r="FK19" s="109"/>
      <c r="FN19" s="70"/>
      <c r="FO19" s="112" t="s">
        <v>1079</v>
      </c>
      <c r="FP19" s="949" t="s">
        <v>1079</v>
      </c>
      <c r="FQ19" s="949"/>
      <c r="FR19" s="953"/>
      <c r="FS19" s="949"/>
      <c r="FT19" s="949"/>
      <c r="FU19" s="949"/>
      <c r="FV19" s="949"/>
      <c r="FW19" s="109"/>
      <c r="FY19" s="81"/>
      <c r="FZ19" s="81"/>
      <c r="GA19" s="81"/>
      <c r="GB19" s="81"/>
      <c r="GC19" s="81"/>
      <c r="GD19" s="81"/>
      <c r="GE19" s="81"/>
    </row>
    <row r="20" spans="11:187" ht="12.75" customHeight="1">
      <c r="K20" s="108"/>
      <c r="L20" s="29"/>
      <c r="M20" s="1303"/>
      <c r="N20" s="1182"/>
      <c r="O20" s="1338"/>
      <c r="P20" s="29"/>
      <c r="Q20" s="109"/>
      <c r="S20" s="86"/>
      <c r="T20" s="87"/>
      <c r="V20" s="108"/>
      <c r="W20" s="318"/>
      <c r="X20" s="30"/>
      <c r="Y20" s="29"/>
      <c r="Z20" s="318"/>
      <c r="AA20" s="30"/>
      <c r="AB20" s="109"/>
      <c r="AD20" s="66" t="s">
        <v>868</v>
      </c>
      <c r="AE20" s="65">
        <f t="shared" si="9"/>
        <v>2514.5</v>
      </c>
      <c r="AG20" s="108"/>
      <c r="AH20" s="30"/>
      <c r="AI20" s="461" t="s">
        <v>1292</v>
      </c>
      <c r="AJ20" s="462" t="s">
        <v>1217</v>
      </c>
      <c r="AK20" s="943">
        <v>2281.6</v>
      </c>
      <c r="AL20" s="451"/>
      <c r="AM20" s="109"/>
      <c r="AO20" s="66" t="s">
        <v>709</v>
      </c>
      <c r="AP20" s="65">
        <f t="shared" si="0"/>
        <v>1771.88</v>
      </c>
      <c r="AR20" s="108"/>
      <c r="AS20" s="461" t="s">
        <v>1294</v>
      </c>
      <c r="AT20" s="462" t="s">
        <v>1140</v>
      </c>
      <c r="AU20" s="806">
        <f>VLOOKUP("TV COMISS GERAL 23 40H",RHE,10,FALSE)</f>
        <v>1771.88</v>
      </c>
      <c r="AV20" s="29"/>
      <c r="AW20" s="142" t="s">
        <v>1369</v>
      </c>
      <c r="AX20" s="53" t="s">
        <v>1172</v>
      </c>
      <c r="AY20" s="937">
        <v>1882.86</v>
      </c>
      <c r="AZ20" s="109"/>
      <c r="BB20" s="70"/>
      <c r="BC20" s="498" t="s">
        <v>1294</v>
      </c>
      <c r="BD20" s="503" t="s">
        <v>399</v>
      </c>
      <c r="BE20" s="873">
        <f>VLOOKUP("TV COMISS DEFENS 12 40H",RHE,10,FALSE)</f>
        <v>250.11</v>
      </c>
      <c r="BF20" s="71"/>
      <c r="BI20" s="108"/>
      <c r="BJ20" s="461" t="s">
        <v>1294</v>
      </c>
      <c r="BK20" s="462" t="s">
        <v>1140</v>
      </c>
      <c r="BL20" s="809">
        <f t="shared" si="1"/>
        <v>1771.88</v>
      </c>
      <c r="BM20" s="806"/>
      <c r="BN20" s="71"/>
      <c r="BP20" s="108"/>
      <c r="BQ20" s="145" t="s">
        <v>1294</v>
      </c>
      <c r="BR20" s="52" t="str">
        <f t="shared" si="4"/>
        <v>CC 12 - 40 h</v>
      </c>
      <c r="BS20" s="30" t="s">
        <v>1079</v>
      </c>
      <c r="BT20" s="29"/>
      <c r="BU20" s="29"/>
      <c r="BV20" s="29" t="s">
        <v>1290</v>
      </c>
      <c r="BW20" s="29" t="s">
        <v>1079</v>
      </c>
      <c r="BX20" s="109"/>
      <c r="BZ20" s="66" t="s">
        <v>714</v>
      </c>
      <c r="CA20" s="65">
        <f t="shared" si="13"/>
        <v>858.42</v>
      </c>
      <c r="CB20" s="29"/>
      <c r="CC20" s="70"/>
      <c r="CD20" s="532" t="s">
        <v>1417</v>
      </c>
      <c r="CE20" s="533" t="s">
        <v>713</v>
      </c>
      <c r="CF20" s="893">
        <f>VLOOKUP("TV MAGIST PL CARR 09 20H",RHE,10,FALSE)</f>
        <v>743.97</v>
      </c>
      <c r="CG20" s="29"/>
      <c r="CH20" s="532" t="s">
        <v>1309</v>
      </c>
      <c r="CI20" s="533" t="s">
        <v>149</v>
      </c>
      <c r="CJ20" s="893">
        <f>VLOOKUP("TV MAGIST PL CARR 27 20H",RHE,10,FALSE)</f>
        <v>946.87</v>
      </c>
      <c r="CK20" s="71"/>
      <c r="CL20" s="29"/>
      <c r="CM20" s="70"/>
      <c r="CN20" s="29"/>
      <c r="CO20" s="29"/>
      <c r="CP20" s="498" t="s">
        <v>1310</v>
      </c>
      <c r="CQ20" s="898">
        <f t="shared" si="12"/>
        <v>603.96</v>
      </c>
      <c r="CR20" s="131"/>
      <c r="CS20" s="29"/>
      <c r="CT20" s="71"/>
      <c r="CU20" s="66" t="s">
        <v>710</v>
      </c>
      <c r="CV20" s="65">
        <f t="shared" si="14"/>
        <v>700</v>
      </c>
      <c r="CW20" s="425"/>
      <c r="CX20" s="423"/>
      <c r="CY20" s="530" t="s">
        <v>1415</v>
      </c>
      <c r="CZ20" s="531" t="s">
        <v>299</v>
      </c>
      <c r="DA20" s="892">
        <f aca="true" t="shared" si="15" ref="DA20:DA25">ROUND(CF18*1.0636,1)</f>
        <v>608.7</v>
      </c>
      <c r="DB20" s="425"/>
      <c r="DC20" s="530" t="s">
        <v>1307</v>
      </c>
      <c r="DD20" s="531" t="s">
        <v>831</v>
      </c>
      <c r="DE20" s="892">
        <f aca="true" t="shared" si="16" ref="DE20:DE25">ROUND(CJ18*1.0636,1)</f>
        <v>774.7</v>
      </c>
      <c r="DF20" s="424"/>
      <c r="DG20" s="425"/>
      <c r="DH20" s="66" t="s">
        <v>709</v>
      </c>
      <c r="DI20" s="65">
        <f t="shared" si="2"/>
        <v>708.97</v>
      </c>
      <c r="DK20" s="108"/>
      <c r="DL20" s="493" t="s">
        <v>1294</v>
      </c>
      <c r="DM20" s="484" t="s">
        <v>938</v>
      </c>
      <c r="DN20" s="818">
        <f>VLOOKUP("TV COMISS GERAL 24 40H",RHE,10,FALSE)</f>
        <v>708.97</v>
      </c>
      <c r="DO20" s="29"/>
      <c r="DP20" s="461" t="s">
        <v>1369</v>
      </c>
      <c r="DQ20" s="462" t="s">
        <v>973</v>
      </c>
      <c r="DR20" s="818">
        <f>VLOOKUP("TV COMISS JUIZ INF 02 40H",RHE,10,FALSE)</f>
        <v>495.25</v>
      </c>
      <c r="DS20" s="109"/>
      <c r="DU20" s="66" t="s">
        <v>709</v>
      </c>
      <c r="DV20" s="65">
        <f t="shared" si="3"/>
        <v>1497.42</v>
      </c>
      <c r="DX20" s="108"/>
      <c r="DY20" s="461" t="s">
        <v>1293</v>
      </c>
      <c r="DZ20" s="462" t="s">
        <v>1002</v>
      </c>
      <c r="EA20" s="806">
        <f>ROUNDDOWN(DN$18*2.5,2)</f>
        <v>1247.85</v>
      </c>
      <c r="EB20" s="29"/>
      <c r="EC20" s="498" t="s">
        <v>1363</v>
      </c>
      <c r="ED20" s="462" t="s">
        <v>739</v>
      </c>
      <c r="EE20" s="806">
        <f t="shared" si="8"/>
        <v>1389.04</v>
      </c>
      <c r="EF20" s="109"/>
      <c r="EH20" s="66" t="s">
        <v>709</v>
      </c>
      <c r="EI20" s="65">
        <f>ER26</f>
        <v>478.82</v>
      </c>
      <c r="EK20" s="108"/>
      <c r="EL20" s="461" t="s">
        <v>1415</v>
      </c>
      <c r="EM20" s="551" t="s">
        <v>774</v>
      </c>
      <c r="EN20" s="551" t="s">
        <v>9</v>
      </c>
      <c r="EO20" s="552">
        <v>0.6</v>
      </c>
      <c r="EP20" s="553">
        <v>30</v>
      </c>
      <c r="EQ20" s="529" t="s">
        <v>784</v>
      </c>
      <c r="ER20" s="806">
        <f>VLOOKUP("TV GD MAG DIRETOR 02 30H",RHE,10,FALSE)</f>
        <v>299.26</v>
      </c>
      <c r="ES20" s="109"/>
      <c r="EU20" s="108"/>
      <c r="EV20" s="461" t="s">
        <v>1310</v>
      </c>
      <c r="EW20" s="551" t="s">
        <v>774</v>
      </c>
      <c r="EX20" s="551" t="s">
        <v>681</v>
      </c>
      <c r="EY20" s="551">
        <v>0.57</v>
      </c>
      <c r="EZ20" s="553">
        <v>30</v>
      </c>
      <c r="FA20" s="806">
        <f>VLOOKUP("TV GD MAG ANEXO III 03 30H",RHE,10,FALSE)</f>
        <v>284.3</v>
      </c>
      <c r="FB20" s="109"/>
      <c r="FD20" s="66" t="s">
        <v>867</v>
      </c>
      <c r="FE20" s="65">
        <f>FJ27</f>
        <v>0</v>
      </c>
      <c r="FG20" s="108"/>
      <c r="FH20" s="1303"/>
      <c r="FI20" s="1182"/>
      <c r="FJ20" s="1338">
        <f>VLOOKUP("TV GD MAG ANEXO III 01 20H",RHE,10,FALSE)</f>
        <v>134.67</v>
      </c>
      <c r="FK20" s="109"/>
      <c r="FN20" s="108"/>
      <c r="FO20" s="29"/>
      <c r="FP20" s="869"/>
      <c r="FQ20" s="832"/>
      <c r="FR20" s="859"/>
      <c r="FS20" s="832"/>
      <c r="FT20" s="832"/>
      <c r="FU20" s="869"/>
      <c r="FV20" s="869"/>
      <c r="FW20" s="71"/>
      <c r="FY20" s="81"/>
      <c r="FZ20" s="81"/>
      <c r="GA20" s="81"/>
      <c r="GB20" s="81"/>
      <c r="GC20" s="81"/>
      <c r="GD20" s="81"/>
      <c r="GE20" s="81"/>
    </row>
    <row r="21" spans="8:187" ht="12.75" customHeight="1">
      <c r="H21" s="86"/>
      <c r="I21" s="87"/>
      <c r="K21" s="108"/>
      <c r="M21" s="1303" t="s">
        <v>1413</v>
      </c>
      <c r="N21" s="1182" t="s">
        <v>562</v>
      </c>
      <c r="O21" s="1338">
        <f>VLOOKUP("TV MAGIST Q UNICO 05 20H",RHE,10,FALSE)</f>
        <v>738.59</v>
      </c>
      <c r="Q21" s="109"/>
      <c r="S21" s="86"/>
      <c r="T21" s="87"/>
      <c r="V21" s="108"/>
      <c r="W21" s="318"/>
      <c r="X21" s="30"/>
      <c r="Y21" s="29"/>
      <c r="Z21" s="318"/>
      <c r="AA21" s="30"/>
      <c r="AB21" s="109"/>
      <c r="AD21" s="66" t="s">
        <v>869</v>
      </c>
      <c r="AE21" s="65">
        <f t="shared" si="9"/>
        <v>2281.6</v>
      </c>
      <c r="AG21" s="108"/>
      <c r="AH21" s="30"/>
      <c r="AI21" s="461" t="s">
        <v>1293</v>
      </c>
      <c r="AJ21" s="462" t="s">
        <v>1218</v>
      </c>
      <c r="AK21" s="943">
        <v>4408.35</v>
      </c>
      <c r="AL21" s="451"/>
      <c r="AM21" s="109"/>
      <c r="AO21" s="66" t="s">
        <v>84</v>
      </c>
      <c r="AP21" s="65">
        <f t="shared" si="0"/>
        <v>173.55</v>
      </c>
      <c r="AR21" s="108"/>
      <c r="AS21" s="461" t="s">
        <v>1295</v>
      </c>
      <c r="AT21" s="462" t="s">
        <v>1141</v>
      </c>
      <c r="AU21" s="806">
        <f aca="true" t="shared" si="17" ref="AU21:AU31">ROUNDDOWN(AU9*0.75,2)</f>
        <v>173.55</v>
      </c>
      <c r="AV21" s="29"/>
      <c r="AW21" s="142" t="s">
        <v>1370</v>
      </c>
      <c r="AX21" s="53" t="s">
        <v>1173</v>
      </c>
      <c r="AY21" s="937">
        <v>2205.52</v>
      </c>
      <c r="AZ21" s="109"/>
      <c r="BB21" s="70"/>
      <c r="BC21" s="498" t="s">
        <v>1295</v>
      </c>
      <c r="BD21" s="503" t="s">
        <v>400</v>
      </c>
      <c r="BE21" s="873">
        <f>VLOOKUP("TV COMISS DEFENS 13 40H",RHE,10,FALSE)</f>
        <v>764.84</v>
      </c>
      <c r="BF21" s="71"/>
      <c r="BI21" s="108"/>
      <c r="BJ21" s="461" t="s">
        <v>1295</v>
      </c>
      <c r="BK21" s="462" t="s">
        <v>1141</v>
      </c>
      <c r="BL21" s="809">
        <f t="shared" si="1"/>
        <v>173.55</v>
      </c>
      <c r="BM21" s="806">
        <f>ROUNDDOWN(SUS01*0.75,2)</f>
        <v>6.37</v>
      </c>
      <c r="BN21" s="71"/>
      <c r="BP21" s="108"/>
      <c r="BQ21" s="145" t="s">
        <v>1295</v>
      </c>
      <c r="BR21" s="52" t="str">
        <f t="shared" si="4"/>
        <v>CC 01 - 30 h</v>
      </c>
      <c r="BS21" s="30" t="e">
        <f>'01'!#REF!</f>
        <v>#REF!</v>
      </c>
      <c r="BT21" s="29"/>
      <c r="BU21" s="29"/>
      <c r="BV21" s="29" t="s">
        <v>1291</v>
      </c>
      <c r="BW21" s="29" t="s">
        <v>1079</v>
      </c>
      <c r="BX21" s="109"/>
      <c r="BZ21" s="66" t="s">
        <v>86</v>
      </c>
      <c r="CA21" s="65">
        <f t="shared" si="13"/>
        <v>1058.72</v>
      </c>
      <c r="CB21" s="29"/>
      <c r="CC21" s="70"/>
      <c r="CD21" s="532" t="s">
        <v>1292</v>
      </c>
      <c r="CE21" s="533" t="s">
        <v>714</v>
      </c>
      <c r="CF21" s="893">
        <f>VLOOKUP("TV MAGIST PL CARR 10 20H",RHE,10,FALSE)</f>
        <v>858.42</v>
      </c>
      <c r="CG21" s="29"/>
      <c r="CH21" s="532" t="s">
        <v>1310</v>
      </c>
      <c r="CI21" s="533" t="s">
        <v>1086</v>
      </c>
      <c r="CJ21" s="893">
        <f>VLOOKUP("TV MAGIST PL CARR 28 20H",RHE,10,FALSE)</f>
        <v>1092.54</v>
      </c>
      <c r="CK21" s="71"/>
      <c r="CL21" s="29"/>
      <c r="CM21" s="70"/>
      <c r="CN21" s="29"/>
      <c r="CO21" s="29"/>
      <c r="CP21" s="498" t="s">
        <v>1311</v>
      </c>
      <c r="CQ21" s="898">
        <f t="shared" si="12"/>
        <v>625.53</v>
      </c>
      <c r="CR21" s="131"/>
      <c r="CS21" s="29"/>
      <c r="CT21" s="71"/>
      <c r="CU21" s="66" t="s">
        <v>713</v>
      </c>
      <c r="CV21" s="65">
        <f t="shared" si="14"/>
        <v>791.3</v>
      </c>
      <c r="CW21" s="425"/>
      <c r="CX21" s="423"/>
      <c r="CY21" s="532" t="s">
        <v>1416</v>
      </c>
      <c r="CZ21" s="533" t="s">
        <v>710</v>
      </c>
      <c r="DA21" s="893">
        <f t="shared" si="15"/>
        <v>700</v>
      </c>
      <c r="DB21" s="425"/>
      <c r="DC21" s="532" t="s">
        <v>1308</v>
      </c>
      <c r="DD21" s="533" t="s">
        <v>832</v>
      </c>
      <c r="DE21" s="893">
        <f t="shared" si="16"/>
        <v>890.9</v>
      </c>
      <c r="DF21" s="424"/>
      <c r="DG21" s="425"/>
      <c r="DH21" s="66" t="s">
        <v>84</v>
      </c>
      <c r="DI21" s="65">
        <f t="shared" si="2"/>
        <v>54.91</v>
      </c>
      <c r="DK21" s="108"/>
      <c r="DL21" s="497" t="s">
        <v>1295</v>
      </c>
      <c r="DM21" s="489" t="s">
        <v>950</v>
      </c>
      <c r="DN21" s="819">
        <f>VLOOKUP("TV COMISS PC/BM 01 40H",RHE,10,FALSE)</f>
        <v>54.91</v>
      </c>
      <c r="DO21" s="29"/>
      <c r="DP21" s="461" t="s">
        <v>1370</v>
      </c>
      <c r="DQ21" s="462" t="s">
        <v>974</v>
      </c>
      <c r="DR21" s="818">
        <f>VLOOKUP("TV COMISS JUIZ INF 03 40H",RHE,10,FALSE)</f>
        <v>819.74</v>
      </c>
      <c r="DS21" s="109"/>
      <c r="DU21" s="66" t="s">
        <v>84</v>
      </c>
      <c r="DV21" s="65">
        <f t="shared" si="3"/>
        <v>1746.99</v>
      </c>
      <c r="DX21" s="108"/>
      <c r="DY21" s="461" t="s">
        <v>1294</v>
      </c>
      <c r="DZ21" s="462" t="s">
        <v>1003</v>
      </c>
      <c r="EA21" s="806">
        <f>ROUNDDOWN(DN$18*3,2)</f>
        <v>1497.42</v>
      </c>
      <c r="EB21" s="29"/>
      <c r="EC21" s="498" t="s">
        <v>1364</v>
      </c>
      <c r="ED21" s="462" t="s">
        <v>740</v>
      </c>
      <c r="EE21" s="806">
        <f t="shared" si="8"/>
        <v>1771.88</v>
      </c>
      <c r="EF21" s="109"/>
      <c r="EH21" s="66" t="s">
        <v>84</v>
      </c>
      <c r="EI21" s="65">
        <f>ER28</f>
        <v>234.42</v>
      </c>
      <c r="EK21" s="108"/>
      <c r="EL21" s="464" t="s">
        <v>1416</v>
      </c>
      <c r="EM21" s="539" t="s">
        <v>774</v>
      </c>
      <c r="EN21" s="539" t="s">
        <v>9</v>
      </c>
      <c r="EO21" s="554">
        <v>0.8</v>
      </c>
      <c r="EP21" s="555">
        <v>40</v>
      </c>
      <c r="EQ21" s="556" t="s">
        <v>785</v>
      </c>
      <c r="ER21" s="820">
        <f>VLOOKUP("TV GD MAG DIRETOR 02 40H",RHE,10,FALSE)</f>
        <v>399.02</v>
      </c>
      <c r="ES21" s="109"/>
      <c r="EU21" s="108"/>
      <c r="EV21" s="461" t="s">
        <v>1311</v>
      </c>
      <c r="EW21" s="551" t="s">
        <v>774</v>
      </c>
      <c r="EX21" s="551" t="s">
        <v>681</v>
      </c>
      <c r="EY21" s="551">
        <v>0.76</v>
      </c>
      <c r="EZ21" s="553">
        <v>40</v>
      </c>
      <c r="FA21" s="806">
        <f>VLOOKUP("TV GD MAG ANEXO III 03 40H",RHE,10,FALSE)</f>
        <v>379.07</v>
      </c>
      <c r="FB21" s="109"/>
      <c r="FD21" s="66" t="s">
        <v>868</v>
      </c>
      <c r="FE21" s="65">
        <f>FJ29</f>
        <v>0</v>
      </c>
      <c r="FG21" s="108"/>
      <c r="FH21" s="1303" t="s">
        <v>1413</v>
      </c>
      <c r="FI21" s="1182" t="s">
        <v>634</v>
      </c>
      <c r="FJ21" s="1338">
        <f>VLOOKUP("TV COMISS IPERGS 19 40H",RHE,10,FALSE)</f>
        <v>2495.7</v>
      </c>
      <c r="FK21" s="109"/>
      <c r="FN21" s="108"/>
      <c r="FO21" s="558" t="s">
        <v>135</v>
      </c>
      <c r="FP21" s="951">
        <f>ROUNDDOWN(DR14*1.6,2)</f>
        <v>286.03</v>
      </c>
      <c r="FQ21" s="869"/>
      <c r="FR21" s="948" t="s">
        <v>1076</v>
      </c>
      <c r="FS21" s="805">
        <f>ROUNDDOWN(FV21*0.2,2)</f>
        <v>161.26</v>
      </c>
      <c r="FT21" s="949"/>
      <c r="FU21" s="950" t="s">
        <v>430</v>
      </c>
      <c r="FV21" s="951">
        <f>ROUNDDOWN(AU45*1.6,2)</f>
        <v>806.3</v>
      </c>
      <c r="FW21" s="109"/>
      <c r="FY21" s="81"/>
      <c r="FZ21" s="81"/>
      <c r="GA21" s="81"/>
      <c r="GB21" s="81"/>
      <c r="GC21" s="81"/>
      <c r="GD21" s="81"/>
      <c r="GE21" s="81"/>
    </row>
    <row r="22" spans="8:187" ht="12.75" customHeight="1">
      <c r="H22" s="86"/>
      <c r="I22" s="87"/>
      <c r="K22" s="108"/>
      <c r="M22" s="1386"/>
      <c r="N22" s="1183"/>
      <c r="O22" s="1387"/>
      <c r="Q22" s="109"/>
      <c r="S22" s="86"/>
      <c r="T22" s="87"/>
      <c r="V22" s="108"/>
      <c r="W22" s="318"/>
      <c r="X22" s="30"/>
      <c r="Y22" s="29"/>
      <c r="Z22" s="318"/>
      <c r="AA22" s="30"/>
      <c r="AB22" s="109"/>
      <c r="AD22" s="66" t="s">
        <v>708</v>
      </c>
      <c r="AE22" s="65">
        <f t="shared" si="9"/>
        <v>4408.35</v>
      </c>
      <c r="AG22" s="108"/>
      <c r="AH22" s="30"/>
      <c r="AI22" s="461" t="s">
        <v>1294</v>
      </c>
      <c r="AJ22" s="462" t="s">
        <v>1219</v>
      </c>
      <c r="AK22" s="943">
        <v>4251.9</v>
      </c>
      <c r="AL22" s="451"/>
      <c r="AM22" s="109"/>
      <c r="AO22" s="66" t="s">
        <v>85</v>
      </c>
      <c r="AP22" s="65">
        <f t="shared" si="0"/>
        <v>199.54</v>
      </c>
      <c r="AR22" s="108"/>
      <c r="AS22" s="461" t="s">
        <v>1296</v>
      </c>
      <c r="AT22" s="462" t="s">
        <v>1142</v>
      </c>
      <c r="AU22" s="806">
        <f t="shared" si="17"/>
        <v>199.54</v>
      </c>
      <c r="AV22" s="29"/>
      <c r="AW22" s="142" t="s">
        <v>1371</v>
      </c>
      <c r="AX22" s="53" t="s">
        <v>1174</v>
      </c>
      <c r="AY22" s="937">
        <v>2581.22</v>
      </c>
      <c r="AZ22" s="109"/>
      <c r="BB22" s="70"/>
      <c r="BC22" s="498" t="s">
        <v>1296</v>
      </c>
      <c r="BD22" s="503" t="s">
        <v>401</v>
      </c>
      <c r="BE22" s="873">
        <f>VLOOKUP("TV COMISS DEFENS 14 40H",RHE,10,FALSE)</f>
        <v>283.2</v>
      </c>
      <c r="BF22" s="71"/>
      <c r="BI22" s="108"/>
      <c r="BJ22" s="461" t="s">
        <v>1296</v>
      </c>
      <c r="BK22" s="462" t="s">
        <v>1142</v>
      </c>
      <c r="BL22" s="809">
        <f t="shared" si="1"/>
        <v>199.54</v>
      </c>
      <c r="BM22" s="806">
        <f>ROUNDDOWN(SUS01*0.75,2)</f>
        <v>6.37</v>
      </c>
      <c r="BN22" s="71"/>
      <c r="BP22" s="108"/>
      <c r="BQ22" s="145" t="s">
        <v>1296</v>
      </c>
      <c r="BR22" s="52" t="str">
        <f t="shared" si="4"/>
        <v>CC 02 - 30 h</v>
      </c>
      <c r="BS22" s="30" t="e">
        <f>'01'!#REF!</f>
        <v>#REF!</v>
      </c>
      <c r="BT22" s="29"/>
      <c r="BU22" s="29"/>
      <c r="BV22" s="29" t="s">
        <v>1238</v>
      </c>
      <c r="BW22" s="29" t="s">
        <v>1079</v>
      </c>
      <c r="BX22" s="109"/>
      <c r="BZ22" s="66" t="s">
        <v>87</v>
      </c>
      <c r="CA22" s="65">
        <f t="shared" si="13"/>
        <v>1144.57</v>
      </c>
      <c r="CB22" s="29"/>
      <c r="CC22" s="70"/>
      <c r="CD22" s="532" t="s">
        <v>1293</v>
      </c>
      <c r="CE22" s="533" t="s">
        <v>86</v>
      </c>
      <c r="CF22" s="893">
        <f>VLOOKUP("TV MAGIST PL CARR 11 20H",RHE,10,FALSE)</f>
        <v>1058.72</v>
      </c>
      <c r="CG22" s="29"/>
      <c r="CH22" s="532" t="s">
        <v>1311</v>
      </c>
      <c r="CI22" s="533" t="s">
        <v>1087</v>
      </c>
      <c r="CJ22" s="893">
        <f>VLOOKUP("TV MAGIST PL CARR 29 20H",RHE,10,FALSE)</f>
        <v>1347.47</v>
      </c>
      <c r="CK22" s="71"/>
      <c r="CL22" s="29"/>
      <c r="CM22" s="70"/>
      <c r="CN22" s="29"/>
      <c r="CO22" s="29"/>
      <c r="CP22" s="498" t="s">
        <v>1312</v>
      </c>
      <c r="CQ22" s="898">
        <f t="shared" si="12"/>
        <v>647.1</v>
      </c>
      <c r="CR22" s="131"/>
      <c r="CS22" s="29"/>
      <c r="CT22" s="71"/>
      <c r="CU22" s="66" t="s">
        <v>714</v>
      </c>
      <c r="CV22" s="65">
        <f t="shared" si="14"/>
        <v>913</v>
      </c>
      <c r="CW22" s="425"/>
      <c r="CX22" s="423"/>
      <c r="CY22" s="532" t="s">
        <v>1417</v>
      </c>
      <c r="CZ22" s="533" t="s">
        <v>713</v>
      </c>
      <c r="DA22" s="893">
        <f t="shared" si="15"/>
        <v>791.3</v>
      </c>
      <c r="DB22" s="425"/>
      <c r="DC22" s="532" t="s">
        <v>1309</v>
      </c>
      <c r="DD22" s="533" t="s">
        <v>149</v>
      </c>
      <c r="DE22" s="893">
        <f t="shared" si="16"/>
        <v>1007.1</v>
      </c>
      <c r="DF22" s="424"/>
      <c r="DG22" s="425"/>
      <c r="DH22" s="66" t="s">
        <v>85</v>
      </c>
      <c r="DI22" s="65">
        <f t="shared" si="2"/>
        <v>76.62</v>
      </c>
      <c r="DK22" s="108"/>
      <c r="DL22" s="461" t="s">
        <v>1296</v>
      </c>
      <c r="DM22" s="462" t="s">
        <v>939</v>
      </c>
      <c r="DN22" s="806">
        <f>VLOOKUP("TV COMISS PC/BM 02 40H",RHE,10,FALSE)</f>
        <v>76.62</v>
      </c>
      <c r="DO22" s="29"/>
      <c r="DP22" s="461" t="s">
        <v>1371</v>
      </c>
      <c r="DQ22" s="462" t="s">
        <v>975</v>
      </c>
      <c r="DR22" s="818">
        <f>VLOOKUP("TV COMISS JUIZ INF 04 40H",RHE,10,FALSE)</f>
        <v>902.33</v>
      </c>
      <c r="DS22" s="109"/>
      <c r="DU22" s="66" t="s">
        <v>85</v>
      </c>
      <c r="DV22" s="65">
        <f t="shared" si="3"/>
        <v>1996.56</v>
      </c>
      <c r="DX22" s="108"/>
      <c r="DY22" s="461" t="s">
        <v>1295</v>
      </c>
      <c r="DZ22" s="462" t="s">
        <v>1004</v>
      </c>
      <c r="EA22" s="806">
        <f>ROUNDDOWN(DN$18*3.5,2)</f>
        <v>1746.99</v>
      </c>
      <c r="EB22" s="29"/>
      <c r="EC22" s="498" t="s">
        <v>1365</v>
      </c>
      <c r="ED22" s="462" t="s">
        <v>741</v>
      </c>
      <c r="EE22" s="963">
        <f>EE10*2.3</f>
        <v>532.2429999999999</v>
      </c>
      <c r="EF22" s="109"/>
      <c r="EH22" s="66" t="s">
        <v>85</v>
      </c>
      <c r="EI22" s="65">
        <f>ER29</f>
        <v>468.84</v>
      </c>
      <c r="EK22" s="108"/>
      <c r="ER22" s="832"/>
      <c r="ES22" s="109"/>
      <c r="EU22" s="108"/>
      <c r="EV22" s="461" t="s">
        <v>1312</v>
      </c>
      <c r="EW22" s="551" t="s">
        <v>774</v>
      </c>
      <c r="EX22" s="551" t="s">
        <v>682</v>
      </c>
      <c r="EY22" s="551">
        <v>0.44</v>
      </c>
      <c r="EZ22" s="553">
        <v>20</v>
      </c>
      <c r="FA22" s="806">
        <f>VLOOKUP("TV GD MAG ANEXO III 04 20H",RHE,10,FALSE)</f>
        <v>219.46</v>
      </c>
      <c r="FB22" s="109"/>
      <c r="FD22" s="66" t="s">
        <v>869</v>
      </c>
      <c r="FE22" s="65">
        <f>FJ31</f>
        <v>0</v>
      </c>
      <c r="FG22" s="108"/>
      <c r="FH22" s="1303"/>
      <c r="FI22" s="1182"/>
      <c r="FJ22" s="1338">
        <f>VLOOKUP("TV GD MAG ANEXO III 01 20H",RHE,10,FALSE)</f>
        <v>134.67</v>
      </c>
      <c r="FK22" s="109"/>
      <c r="FN22" s="108"/>
      <c r="FO22" s="29"/>
      <c r="FP22" s="869"/>
      <c r="FQ22" s="869"/>
      <c r="FR22" s="952" t="s">
        <v>57</v>
      </c>
      <c r="FS22" s="806">
        <f>ROUNDDOWN(FV21*0.3,2)</f>
        <v>241.89</v>
      </c>
      <c r="FT22" s="949"/>
      <c r="FU22" s="953"/>
      <c r="FV22" s="949"/>
      <c r="FW22" s="109"/>
      <c r="FY22" s="81"/>
      <c r="FZ22" s="81"/>
      <c r="GA22" s="81"/>
      <c r="GB22" s="81"/>
      <c r="GC22" s="81"/>
      <c r="GD22" s="81"/>
      <c r="GE22" s="81"/>
    </row>
    <row r="23" spans="8:187" ht="12.75" customHeight="1" thickBot="1">
      <c r="H23" s="86"/>
      <c r="I23" s="87"/>
      <c r="K23" s="108"/>
      <c r="O23" s="832"/>
      <c r="Q23" s="109"/>
      <c r="S23" s="86"/>
      <c r="T23" s="87"/>
      <c r="V23" s="108"/>
      <c r="W23" s="1339" t="s">
        <v>428</v>
      </c>
      <c r="X23" s="1340"/>
      <c r="Y23" s="1340"/>
      <c r="Z23" s="1340"/>
      <c r="AA23" s="1341"/>
      <c r="AB23" s="109"/>
      <c r="AD23" s="66" t="s">
        <v>709</v>
      </c>
      <c r="AE23" s="65">
        <f t="shared" si="9"/>
        <v>4251.9</v>
      </c>
      <c r="AG23" s="108"/>
      <c r="AH23" s="30"/>
      <c r="AI23" s="461" t="s">
        <v>1295</v>
      </c>
      <c r="AJ23" s="462" t="s">
        <v>1220</v>
      </c>
      <c r="AK23" s="943">
        <v>4101.82</v>
      </c>
      <c r="AL23" s="451"/>
      <c r="AM23" s="109"/>
      <c r="AO23" s="66" t="s">
        <v>715</v>
      </c>
      <c r="AP23" s="65">
        <f t="shared" si="0"/>
        <v>243.96</v>
      </c>
      <c r="AR23" s="108"/>
      <c r="AS23" s="461" t="s">
        <v>1297</v>
      </c>
      <c r="AT23" s="462" t="s">
        <v>1143</v>
      </c>
      <c r="AU23" s="806">
        <f t="shared" si="17"/>
        <v>243.96</v>
      </c>
      <c r="AV23" s="29"/>
      <c r="AW23" s="142" t="s">
        <v>1372</v>
      </c>
      <c r="AX23" s="53" t="s">
        <v>1175</v>
      </c>
      <c r="AY23" s="937">
        <v>3630.95</v>
      </c>
      <c r="AZ23" s="109"/>
      <c r="BB23" s="70"/>
      <c r="BC23" s="498" t="s">
        <v>1297</v>
      </c>
      <c r="BD23" s="503" t="s">
        <v>402</v>
      </c>
      <c r="BE23" s="873">
        <f>VLOOKUP("TV COMISS DEFENS 15 40H",RHE,10,FALSE)</f>
        <v>1166.87</v>
      </c>
      <c r="BF23" s="71"/>
      <c r="BI23" s="108"/>
      <c r="BJ23" s="461" t="s">
        <v>1297</v>
      </c>
      <c r="BK23" s="462" t="s">
        <v>1143</v>
      </c>
      <c r="BL23" s="809">
        <f t="shared" si="1"/>
        <v>243.96</v>
      </c>
      <c r="BM23" s="806">
        <f>ROUNDDOWN(SUS01*0.75,2)</f>
        <v>6.37</v>
      </c>
      <c r="BN23" s="71"/>
      <c r="BP23" s="108"/>
      <c r="BQ23" s="145" t="s">
        <v>1297</v>
      </c>
      <c r="BR23" s="52" t="str">
        <f t="shared" si="4"/>
        <v>CC 03 - 30 h </v>
      </c>
      <c r="BS23" s="30" t="e">
        <f>'01'!#REF!</f>
        <v>#REF!</v>
      </c>
      <c r="BT23" s="29"/>
      <c r="BU23" s="29"/>
      <c r="BV23" s="29" t="s">
        <v>1239</v>
      </c>
      <c r="BW23" s="29" t="s">
        <v>1079</v>
      </c>
      <c r="BX23" s="109"/>
      <c r="BZ23" s="66" t="s">
        <v>810</v>
      </c>
      <c r="CA23" s="65">
        <f aca="true" t="shared" si="18" ref="CA23:CA28">CF25</f>
        <v>624.31</v>
      </c>
      <c r="CB23" s="29"/>
      <c r="CC23" s="70"/>
      <c r="CD23" s="534" t="s">
        <v>1294</v>
      </c>
      <c r="CE23" s="535" t="s">
        <v>87</v>
      </c>
      <c r="CF23" s="894">
        <f>VLOOKUP("TV MAGIST PL CARR 12 20H",RHE,10,FALSE)</f>
        <v>1144.57</v>
      </c>
      <c r="CG23" s="29"/>
      <c r="CH23" s="534" t="s">
        <v>1312</v>
      </c>
      <c r="CI23" s="535" t="s">
        <v>225</v>
      </c>
      <c r="CJ23" s="894">
        <f>VLOOKUP("TV MAGIST PL CARR 30 20H",RHE,10,FALSE)</f>
        <v>1456.72</v>
      </c>
      <c r="CK23" s="71"/>
      <c r="CL23" s="29"/>
      <c r="CM23" s="70"/>
      <c r="CN23" s="29"/>
      <c r="CO23" s="29"/>
      <c r="CP23" s="498" t="s">
        <v>1313</v>
      </c>
      <c r="CQ23" s="898">
        <f t="shared" si="12"/>
        <v>668.67</v>
      </c>
      <c r="CR23" s="131"/>
      <c r="CS23" s="29"/>
      <c r="CT23" s="71"/>
      <c r="CU23" s="66" t="s">
        <v>86</v>
      </c>
      <c r="CV23" s="65">
        <f t="shared" si="14"/>
        <v>1126.1</v>
      </c>
      <c r="CW23" s="425"/>
      <c r="CX23" s="423"/>
      <c r="CY23" s="532" t="s">
        <v>1292</v>
      </c>
      <c r="CZ23" s="533" t="s">
        <v>714</v>
      </c>
      <c r="DA23" s="893">
        <f t="shared" si="15"/>
        <v>913</v>
      </c>
      <c r="DB23" s="425"/>
      <c r="DC23" s="532" t="s">
        <v>1310</v>
      </c>
      <c r="DD23" s="533" t="s">
        <v>1086</v>
      </c>
      <c r="DE23" s="893">
        <f t="shared" si="16"/>
        <v>1162</v>
      </c>
      <c r="DF23" s="424"/>
      <c r="DG23" s="425"/>
      <c r="DH23" s="66" t="s">
        <v>715</v>
      </c>
      <c r="DI23" s="65">
        <f t="shared" si="2"/>
        <v>101.56</v>
      </c>
      <c r="DK23" s="108"/>
      <c r="DL23" s="461" t="s">
        <v>1297</v>
      </c>
      <c r="DM23" s="462" t="s">
        <v>940</v>
      </c>
      <c r="DN23" s="806">
        <f>VLOOKUP("TV COMISS PC/BM 03 40H",RHE,10,FALSE)</f>
        <v>101.56</v>
      </c>
      <c r="DO23" s="29"/>
      <c r="DP23" s="514" t="s">
        <v>1372</v>
      </c>
      <c r="DQ23" s="515" t="s">
        <v>976</v>
      </c>
      <c r="DR23" s="818">
        <f>VLOOKUP("TV COMISS JUIZ INF 05 40H",RHE,10,FALSE)</f>
        <v>1215.82</v>
      </c>
      <c r="DS23" s="109"/>
      <c r="DU23" s="66" t="s">
        <v>715</v>
      </c>
      <c r="DV23" s="65">
        <f t="shared" si="3"/>
        <v>2246.13</v>
      </c>
      <c r="DX23" s="108"/>
      <c r="DY23" s="461" t="s">
        <v>1296</v>
      </c>
      <c r="DZ23" s="462" t="s">
        <v>1005</v>
      </c>
      <c r="EA23" s="806">
        <f>ROUNDDOWN(DN$18*4,2)</f>
        <v>1996.56</v>
      </c>
      <c r="EB23" s="29"/>
      <c r="EC23" s="498" t="s">
        <v>1366</v>
      </c>
      <c r="ED23" s="462" t="s">
        <v>742</v>
      </c>
      <c r="EE23" s="963">
        <f>EE11*2.3</f>
        <v>611.938</v>
      </c>
      <c r="EF23" s="109"/>
      <c r="EH23" s="66" t="s">
        <v>715</v>
      </c>
      <c r="EI23" s="65">
        <f>ER30</f>
        <v>418.97</v>
      </c>
      <c r="EK23" s="108"/>
      <c r="EL23" s="459" t="s">
        <v>1417</v>
      </c>
      <c r="EM23" s="537" t="s">
        <v>775</v>
      </c>
      <c r="EN23" s="537" t="s">
        <v>10</v>
      </c>
      <c r="EO23" s="549">
        <v>0.4</v>
      </c>
      <c r="EP23" s="550">
        <v>20</v>
      </c>
      <c r="EQ23" s="542" t="s">
        <v>778</v>
      </c>
      <c r="ER23" s="805">
        <f>VLOOKUP("TV GD MAG VICE 03 20H",RHE,10,FALSE)</f>
        <v>199.51</v>
      </c>
      <c r="ES23" s="109"/>
      <c r="EU23" s="108"/>
      <c r="EV23" s="461" t="s">
        <v>1313</v>
      </c>
      <c r="EW23" s="551" t="s">
        <v>774</v>
      </c>
      <c r="EX23" s="551" t="s">
        <v>682</v>
      </c>
      <c r="EY23" s="551">
        <v>0.66</v>
      </c>
      <c r="EZ23" s="553">
        <v>30</v>
      </c>
      <c r="FA23" s="806">
        <f>VLOOKUP("TV GD MAG ANEXO III 04 30H",RHE,10,FALSE)</f>
        <v>329.19</v>
      </c>
      <c r="FB23" s="109"/>
      <c r="FD23" s="67" t="s">
        <v>708</v>
      </c>
      <c r="FE23" s="83">
        <f>FJ33</f>
        <v>0</v>
      </c>
      <c r="FG23" s="108"/>
      <c r="FH23" s="1303" t="s">
        <v>1414</v>
      </c>
      <c r="FI23" s="1182" t="s">
        <v>635</v>
      </c>
      <c r="FJ23" s="1338">
        <f>VLOOKUP("TV COMISS IPERGS 20 40H",RHE,10,FALSE)</f>
        <v>2994.84</v>
      </c>
      <c r="FK23" s="109"/>
      <c r="FN23" s="70"/>
      <c r="FO23" s="29"/>
      <c r="FP23" s="869"/>
      <c r="FQ23" s="949"/>
      <c r="FR23" s="952" t="s">
        <v>298</v>
      </c>
      <c r="FS23" s="806">
        <f>ROUNDDOWN(FV21*0.35,2)</f>
        <v>282.2</v>
      </c>
      <c r="FT23" s="949"/>
      <c r="FU23" s="832"/>
      <c r="FV23" s="832"/>
      <c r="FW23" s="109"/>
      <c r="FY23" s="81"/>
      <c r="FZ23" s="81"/>
      <c r="GA23" s="81"/>
      <c r="GB23" s="81"/>
      <c r="GC23" s="81"/>
      <c r="GD23" s="81"/>
      <c r="GE23" s="81"/>
    </row>
    <row r="24" spans="8:192" ht="12.75" customHeight="1">
      <c r="H24" s="86"/>
      <c r="I24" s="87"/>
      <c r="K24" s="108"/>
      <c r="O24" s="832"/>
      <c r="Q24" s="109"/>
      <c r="S24" s="86"/>
      <c r="T24" s="87"/>
      <c r="V24" s="108"/>
      <c r="W24" s="1342"/>
      <c r="X24" s="1343"/>
      <c r="Y24" s="1343"/>
      <c r="Z24" s="1343"/>
      <c r="AA24" s="1344"/>
      <c r="AB24" s="109"/>
      <c r="AD24" s="66" t="s">
        <v>84</v>
      </c>
      <c r="AE24" s="65">
        <f t="shared" si="9"/>
        <v>4101.82</v>
      </c>
      <c r="AG24" s="108"/>
      <c r="AH24" s="30"/>
      <c r="AI24" s="461" t="s">
        <v>1296</v>
      </c>
      <c r="AJ24" s="462" t="s">
        <v>1221</v>
      </c>
      <c r="AK24" s="943">
        <v>3958.5</v>
      </c>
      <c r="AL24" s="451"/>
      <c r="AM24" s="109"/>
      <c r="AO24" s="66" t="s">
        <v>716</v>
      </c>
      <c r="AP24" s="65">
        <f t="shared" si="0"/>
        <v>288.3</v>
      </c>
      <c r="AR24" s="108"/>
      <c r="AS24" s="461" t="s">
        <v>1298</v>
      </c>
      <c r="AT24" s="462" t="s">
        <v>1144</v>
      </c>
      <c r="AU24" s="806">
        <f t="shared" si="17"/>
        <v>288.3</v>
      </c>
      <c r="AV24" s="29"/>
      <c r="AW24" s="142" t="s">
        <v>1373</v>
      </c>
      <c r="AX24" s="53" t="s">
        <v>1176</v>
      </c>
      <c r="AY24" s="937">
        <v>4324.88</v>
      </c>
      <c r="AZ24" s="109"/>
      <c r="BB24" s="70"/>
      <c r="BC24" s="498" t="s">
        <v>1298</v>
      </c>
      <c r="BD24" s="503" t="s">
        <v>403</v>
      </c>
      <c r="BE24" s="873">
        <f>VLOOKUP("TV COMISS DEFENS 16 40H",RHE,10,FALSE)</f>
        <v>443.87</v>
      </c>
      <c r="BF24" s="71"/>
      <c r="BI24" s="108"/>
      <c r="BJ24" s="461" t="s">
        <v>1298</v>
      </c>
      <c r="BK24" s="462" t="s">
        <v>1144</v>
      </c>
      <c r="BL24" s="809">
        <f t="shared" si="1"/>
        <v>288.3</v>
      </c>
      <c r="BM24" s="806">
        <f>ROUNDDOWN(SUS02*0.75,2)</f>
        <v>7.57</v>
      </c>
      <c r="BN24" s="71"/>
      <c r="BP24" s="108"/>
      <c r="BQ24" s="145" t="s">
        <v>1298</v>
      </c>
      <c r="BR24" s="52" t="str">
        <f t="shared" si="4"/>
        <v>CC 04 - 30 h</v>
      </c>
      <c r="BS24" s="30" t="e">
        <f>'01'!#REF!</f>
        <v>#REF!</v>
      </c>
      <c r="BT24" s="29"/>
      <c r="BU24" s="29"/>
      <c r="BV24" s="29" t="s">
        <v>1240</v>
      </c>
      <c r="BW24" s="29" t="s">
        <v>1079</v>
      </c>
      <c r="BX24" s="109"/>
      <c r="BZ24" s="66" t="s">
        <v>726</v>
      </c>
      <c r="CA24" s="65">
        <f t="shared" si="18"/>
        <v>717.95</v>
      </c>
      <c r="CB24" s="29"/>
      <c r="CC24" s="70"/>
      <c r="CF24" s="832"/>
      <c r="CJ24" s="832"/>
      <c r="CK24" s="71"/>
      <c r="CL24" s="29"/>
      <c r="CM24" s="70"/>
      <c r="CN24" s="29"/>
      <c r="CO24" s="29"/>
      <c r="CP24" s="498" t="s">
        <v>1314</v>
      </c>
      <c r="CQ24" s="898">
        <f t="shared" si="12"/>
        <v>690.24</v>
      </c>
      <c r="CR24" s="29"/>
      <c r="CS24" s="29"/>
      <c r="CT24" s="71"/>
      <c r="CU24" s="66" t="s">
        <v>87</v>
      </c>
      <c r="CV24" s="65">
        <f t="shared" si="14"/>
        <v>1217.4</v>
      </c>
      <c r="CW24" s="425"/>
      <c r="CX24" s="423"/>
      <c r="CY24" s="532" t="s">
        <v>1293</v>
      </c>
      <c r="CZ24" s="533" t="s">
        <v>86</v>
      </c>
      <c r="DA24" s="893">
        <f t="shared" si="15"/>
        <v>1126.1</v>
      </c>
      <c r="DB24" s="425"/>
      <c r="DC24" s="532" t="s">
        <v>1311</v>
      </c>
      <c r="DD24" s="533" t="s">
        <v>1087</v>
      </c>
      <c r="DE24" s="893">
        <f t="shared" si="16"/>
        <v>1433.2</v>
      </c>
      <c r="DF24" s="424"/>
      <c r="DG24" s="425"/>
      <c r="DH24" s="66" t="s">
        <v>716</v>
      </c>
      <c r="DI24" s="65">
        <f t="shared" si="2"/>
        <v>120.26</v>
      </c>
      <c r="DK24" s="108"/>
      <c r="DL24" s="461" t="s">
        <v>1298</v>
      </c>
      <c r="DM24" s="462" t="s">
        <v>941</v>
      </c>
      <c r="DN24" s="806">
        <f>VLOOKUP("TV COMISS PC/BM 04 40H",RHE,10,FALSE)</f>
        <v>120.26</v>
      </c>
      <c r="DO24" s="29"/>
      <c r="DP24" s="497" t="s">
        <v>1373</v>
      </c>
      <c r="DQ24" s="489" t="s">
        <v>977</v>
      </c>
      <c r="DR24" s="819">
        <f>VLOOKUP("TV COMISS TRIB CONT 02 40H",RHE,10,FALSE)</f>
        <v>481.77</v>
      </c>
      <c r="DS24" s="109"/>
      <c r="DU24" s="66" t="s">
        <v>716</v>
      </c>
      <c r="DV24" s="65">
        <f t="shared" si="3"/>
        <v>2495.7</v>
      </c>
      <c r="DX24" s="108"/>
      <c r="DY24" s="461" t="s">
        <v>1297</v>
      </c>
      <c r="DZ24" s="462" t="s">
        <v>1006</v>
      </c>
      <c r="EA24" s="806">
        <f>ROUNDDOWN(DN$18*4.5,2)</f>
        <v>2246.13</v>
      </c>
      <c r="EB24" s="29"/>
      <c r="EC24" s="498" t="s">
        <v>1367</v>
      </c>
      <c r="ED24" s="462" t="s">
        <v>743</v>
      </c>
      <c r="EE24" s="963">
        <f>EE12*2</f>
        <v>650.58</v>
      </c>
      <c r="EF24" s="109"/>
      <c r="EH24" s="66" t="s">
        <v>716</v>
      </c>
      <c r="EI24" s="65">
        <f>ER31</f>
        <v>558.63</v>
      </c>
      <c r="EK24" s="108"/>
      <c r="EL24" s="461" t="s">
        <v>1292</v>
      </c>
      <c r="EM24" s="551" t="s">
        <v>775</v>
      </c>
      <c r="EN24" s="551" t="s">
        <v>10</v>
      </c>
      <c r="EO24" s="552">
        <v>0.4</v>
      </c>
      <c r="EP24" s="553">
        <v>40</v>
      </c>
      <c r="EQ24" s="529" t="s">
        <v>779</v>
      </c>
      <c r="ER24" s="806">
        <f>VLOOKUP("TV GD MAG VICE 03 40H",RHE,10,FALSE)</f>
        <v>399.02</v>
      </c>
      <c r="ES24" s="109"/>
      <c r="EU24" s="108"/>
      <c r="EV24" s="461" t="s">
        <v>1314</v>
      </c>
      <c r="EW24" s="551" t="s">
        <v>774</v>
      </c>
      <c r="EX24" s="551" t="s">
        <v>682</v>
      </c>
      <c r="EY24" s="551">
        <v>0.88</v>
      </c>
      <c r="EZ24" s="553">
        <v>40</v>
      </c>
      <c r="FA24" s="806">
        <f>VLOOKUP("TV GD MAG ANEXO III 04 40H",RHE,10,FALSE)</f>
        <v>438.92</v>
      </c>
      <c r="FB24" s="109"/>
      <c r="FD24" s="86"/>
      <c r="FE24" s="87"/>
      <c r="FG24" s="108"/>
      <c r="FH24" s="1386"/>
      <c r="FI24" s="1183"/>
      <c r="FJ24" s="1387">
        <f>VLOOKUP("TV GD MAG ANEXO III 01 20H",RHE,10,FALSE)</f>
        <v>134.67</v>
      </c>
      <c r="FK24" s="109"/>
      <c r="FN24" s="108"/>
      <c r="FO24" s="112" t="s">
        <v>277</v>
      </c>
      <c r="FP24" s="949" t="s">
        <v>277</v>
      </c>
      <c r="FQ24" s="949"/>
      <c r="FR24" s="952" t="s">
        <v>712</v>
      </c>
      <c r="FS24" s="806">
        <f>ROUNDDOWN(FV21*0.5,2)</f>
        <v>403.15</v>
      </c>
      <c r="FT24" s="949"/>
      <c r="FU24" s="869"/>
      <c r="FV24" s="869"/>
      <c r="FW24" s="109"/>
      <c r="FY24" s="77"/>
      <c r="FZ24" s="78"/>
      <c r="GA24" s="78"/>
      <c r="GB24" s="78"/>
      <c r="GC24" s="78"/>
      <c r="GD24" s="78"/>
      <c r="GE24" s="77"/>
      <c r="GJ24" s="126"/>
    </row>
    <row r="25" spans="8:187" ht="12">
      <c r="H25" s="86"/>
      <c r="I25" s="87"/>
      <c r="K25" s="108"/>
      <c r="L25" s="30"/>
      <c r="M25" s="1336" t="s">
        <v>1340</v>
      </c>
      <c r="N25" s="1337"/>
      <c r="O25" s="870">
        <f>VLOOKUP("TV MAGIST Q UNICO 01 20H",RHE,12,FALSE)</f>
        <v>0</v>
      </c>
      <c r="P25" s="29"/>
      <c r="Q25" s="109"/>
      <c r="S25" s="86"/>
      <c r="T25" s="87"/>
      <c r="V25" s="108"/>
      <c r="W25" s="318"/>
      <c r="X25" s="30"/>
      <c r="Y25" s="29"/>
      <c r="Z25" s="318"/>
      <c r="AA25" s="30"/>
      <c r="AB25" s="109"/>
      <c r="AD25" s="66" t="s">
        <v>85</v>
      </c>
      <c r="AE25" s="65">
        <f t="shared" si="9"/>
        <v>3958.5</v>
      </c>
      <c r="AG25" s="108"/>
      <c r="AH25" s="30"/>
      <c r="AI25" s="461" t="s">
        <v>1297</v>
      </c>
      <c r="AJ25" s="462" t="s">
        <v>1222</v>
      </c>
      <c r="AK25" s="943">
        <v>2263.42</v>
      </c>
      <c r="AL25" s="451"/>
      <c r="AM25" s="109"/>
      <c r="AO25" s="66" t="s">
        <v>717</v>
      </c>
      <c r="AP25" s="65">
        <f t="shared" si="0"/>
        <v>333.62</v>
      </c>
      <c r="AR25" s="108"/>
      <c r="AS25" s="461" t="s">
        <v>1299</v>
      </c>
      <c r="AT25" s="462" t="s">
        <v>1145</v>
      </c>
      <c r="AU25" s="806">
        <f t="shared" si="17"/>
        <v>333.62</v>
      </c>
      <c r="AV25" s="29"/>
      <c r="AW25" s="142" t="s">
        <v>1374</v>
      </c>
      <c r="AX25" s="53" t="s">
        <v>1177</v>
      </c>
      <c r="AY25" s="937">
        <v>4828.74</v>
      </c>
      <c r="AZ25" s="109"/>
      <c r="BB25" s="70"/>
      <c r="BC25" s="498" t="s">
        <v>1299</v>
      </c>
      <c r="BD25" s="503" t="s">
        <v>404</v>
      </c>
      <c r="BE25" s="873">
        <f>VLOOKUP("TV COMISS DEFENS 17 40H",RHE,10,FALSE)</f>
        <v>1526.45</v>
      </c>
      <c r="BF25" s="71"/>
      <c r="BI25" s="108"/>
      <c r="BJ25" s="461" t="s">
        <v>1299</v>
      </c>
      <c r="BK25" s="462" t="s">
        <v>1145</v>
      </c>
      <c r="BL25" s="809">
        <f t="shared" si="1"/>
        <v>333.62</v>
      </c>
      <c r="BM25" s="806">
        <f>ROUNDDOWN(SUS02*0.75,2)</f>
        <v>7.57</v>
      </c>
      <c r="BN25" s="71"/>
      <c r="BP25" s="108"/>
      <c r="BQ25" s="145" t="s">
        <v>1299</v>
      </c>
      <c r="BR25" s="52" t="str">
        <f t="shared" si="4"/>
        <v>CC 05 - 30 h</v>
      </c>
      <c r="BS25" s="30" t="e">
        <f>'01'!#REF!</f>
        <v>#REF!</v>
      </c>
      <c r="BT25" s="29"/>
      <c r="BU25" s="29"/>
      <c r="BV25" s="29" t="s">
        <v>1241</v>
      </c>
      <c r="BW25" s="29" t="s">
        <v>1079</v>
      </c>
      <c r="BX25" s="109"/>
      <c r="BZ25" s="66" t="s">
        <v>812</v>
      </c>
      <c r="CA25" s="65">
        <f t="shared" si="18"/>
        <v>811.6</v>
      </c>
      <c r="CB25" s="29"/>
      <c r="CC25" s="70"/>
      <c r="CD25" s="530" t="s">
        <v>1295</v>
      </c>
      <c r="CE25" s="531" t="s">
        <v>810</v>
      </c>
      <c r="CF25" s="892">
        <f>VLOOKUP("TV MAGIST PL CARR 13 20H",RHE,10,FALSE)</f>
        <v>624.31</v>
      </c>
      <c r="CG25" s="29"/>
      <c r="CH25" s="530" t="s">
        <v>1313</v>
      </c>
      <c r="CI25" s="531" t="s">
        <v>292</v>
      </c>
      <c r="CJ25" s="892">
        <f>VLOOKUP("TV MAGIST PL CARR 31 20H",RHE,10,FALSE)</f>
        <v>780.39</v>
      </c>
      <c r="CK25" s="71"/>
      <c r="CL25" s="29"/>
      <c r="CM25" s="70"/>
      <c r="CN25" s="29"/>
      <c r="CO25" s="29"/>
      <c r="CP25" s="498" t="s">
        <v>1315</v>
      </c>
      <c r="CQ25" s="898">
        <f t="shared" si="12"/>
        <v>711.8100000000001</v>
      </c>
      <c r="CR25" s="131"/>
      <c r="CS25" s="29"/>
      <c r="CT25" s="71"/>
      <c r="CU25" s="66" t="s">
        <v>810</v>
      </c>
      <c r="CV25" s="65">
        <f aca="true" t="shared" si="19" ref="CV25:CV30">DA27</f>
        <v>664</v>
      </c>
      <c r="CW25" s="425"/>
      <c r="CX25" s="423"/>
      <c r="CY25" s="534" t="s">
        <v>1294</v>
      </c>
      <c r="CZ25" s="535" t="s">
        <v>87</v>
      </c>
      <c r="DA25" s="894">
        <f t="shared" si="15"/>
        <v>1217.4</v>
      </c>
      <c r="DB25" s="425"/>
      <c r="DC25" s="534" t="s">
        <v>1312</v>
      </c>
      <c r="DD25" s="535" t="s">
        <v>225</v>
      </c>
      <c r="DE25" s="894">
        <f t="shared" si="16"/>
        <v>1549.4</v>
      </c>
      <c r="DF25" s="424"/>
      <c r="DG25" s="425"/>
      <c r="DH25" s="66" t="s">
        <v>717</v>
      </c>
      <c r="DI25" s="65">
        <f t="shared" si="2"/>
        <v>142.08</v>
      </c>
      <c r="DK25" s="108"/>
      <c r="DL25" s="461" t="s">
        <v>1299</v>
      </c>
      <c r="DM25" s="462" t="s">
        <v>942</v>
      </c>
      <c r="DN25" s="806">
        <f>VLOOKUP("TV COMISS PC/BM 05 40H",RHE,10,FALSE)</f>
        <v>142.08</v>
      </c>
      <c r="DO25" s="29"/>
      <c r="DP25" s="461" t="s">
        <v>1374</v>
      </c>
      <c r="DQ25" s="462" t="s">
        <v>978</v>
      </c>
      <c r="DR25" s="806">
        <f>VLOOKUP("TV COMISS TRIB CONT 04 40H",RHE,10,FALSE)</f>
        <v>598.19</v>
      </c>
      <c r="DS25" s="109"/>
      <c r="DU25" s="66" t="s">
        <v>717</v>
      </c>
      <c r="DV25" s="65">
        <f t="shared" si="3"/>
        <v>2745.27</v>
      </c>
      <c r="DX25" s="108"/>
      <c r="DY25" s="461" t="s">
        <v>1298</v>
      </c>
      <c r="DZ25" s="462" t="s">
        <v>1007</v>
      </c>
      <c r="EA25" s="806">
        <f>ROUNDDOWN(DN$18*5,2)</f>
        <v>2495.7</v>
      </c>
      <c r="EB25" s="29"/>
      <c r="EC25" s="498" t="s">
        <v>1368</v>
      </c>
      <c r="ED25" s="462" t="s">
        <v>744</v>
      </c>
      <c r="EE25" s="963">
        <f>EE13*2</f>
        <v>768.8</v>
      </c>
      <c r="EF25" s="109"/>
      <c r="EH25" s="66" t="s">
        <v>717</v>
      </c>
      <c r="EI25" s="65">
        <f>ER33</f>
        <v>269.34</v>
      </c>
      <c r="EK25" s="108"/>
      <c r="EL25" s="461" t="s">
        <v>1293</v>
      </c>
      <c r="EM25" s="551" t="s">
        <v>774</v>
      </c>
      <c r="EN25" s="551" t="s">
        <v>10</v>
      </c>
      <c r="EO25" s="552">
        <v>0.72</v>
      </c>
      <c r="EP25" s="553">
        <v>30</v>
      </c>
      <c r="EQ25" s="529" t="s">
        <v>786</v>
      </c>
      <c r="ER25" s="806">
        <f>VLOOKUP("TV GD MAG DIRETOR 03 30H",RHE,10,FALSE)</f>
        <v>359.12</v>
      </c>
      <c r="ES25" s="109"/>
      <c r="EU25" s="108"/>
      <c r="EV25" s="461" t="s">
        <v>1315</v>
      </c>
      <c r="EW25" s="551" t="s">
        <v>774</v>
      </c>
      <c r="EX25" s="551" t="s">
        <v>683</v>
      </c>
      <c r="EY25" s="551">
        <v>0.5</v>
      </c>
      <c r="EZ25" s="553">
        <v>20</v>
      </c>
      <c r="FA25" s="806">
        <f>VLOOKUP("TV GD MAG ANEXO III 05 20H",RHE,10,FALSE)</f>
        <v>249.39</v>
      </c>
      <c r="FB25" s="109"/>
      <c r="FD25" s="86"/>
      <c r="FE25" s="87"/>
      <c r="FG25" s="108"/>
      <c r="FH25" s="1389"/>
      <c r="FI25" s="1332"/>
      <c r="FJ25" s="1388"/>
      <c r="FK25" s="109"/>
      <c r="FN25" s="108"/>
      <c r="FO25" s="112" t="s">
        <v>1079</v>
      </c>
      <c r="FP25" s="949" t="s">
        <v>1079</v>
      </c>
      <c r="FQ25" s="949"/>
      <c r="FR25" s="954" t="s">
        <v>878</v>
      </c>
      <c r="FS25" s="820">
        <f>ROUNDDOWN(FV21*0.75,2)</f>
        <v>604.72</v>
      </c>
      <c r="FT25" s="949"/>
      <c r="FU25" s="953"/>
      <c r="FV25" s="949"/>
      <c r="FW25" s="109"/>
      <c r="FY25" s="77"/>
      <c r="FZ25" s="78"/>
      <c r="GA25" s="78"/>
      <c r="GB25" s="78"/>
      <c r="GC25" s="78"/>
      <c r="GD25" s="78"/>
      <c r="GE25" s="77"/>
    </row>
    <row r="26" spans="8:187" ht="12.75" customHeight="1">
      <c r="H26" s="86"/>
      <c r="I26" s="87"/>
      <c r="K26" s="108"/>
      <c r="L26" s="30"/>
      <c r="M26" s="30"/>
      <c r="N26" s="131"/>
      <c r="O26" s="869"/>
      <c r="P26" s="29"/>
      <c r="Q26" s="109"/>
      <c r="S26" s="86"/>
      <c r="T26" s="87"/>
      <c r="V26" s="108"/>
      <c r="W26" s="318"/>
      <c r="X26" s="30"/>
      <c r="Y26" s="29"/>
      <c r="Z26" s="318"/>
      <c r="AA26" s="30"/>
      <c r="AB26" s="109"/>
      <c r="AD26" s="66" t="s">
        <v>715</v>
      </c>
      <c r="AE26" s="65">
        <f t="shared" si="9"/>
        <v>2263.42</v>
      </c>
      <c r="AG26" s="108"/>
      <c r="AH26" s="30"/>
      <c r="AI26" s="461" t="s">
        <v>1298</v>
      </c>
      <c r="AJ26" s="462" t="s">
        <v>1223</v>
      </c>
      <c r="AK26" s="943">
        <v>2143.27</v>
      </c>
      <c r="AL26" s="451"/>
      <c r="AM26" s="109"/>
      <c r="AO26" s="66" t="s">
        <v>718</v>
      </c>
      <c r="AP26" s="65">
        <f t="shared" si="0"/>
        <v>377.95</v>
      </c>
      <c r="AR26" s="108"/>
      <c r="AS26" s="461" t="s">
        <v>1300</v>
      </c>
      <c r="AT26" s="462" t="s">
        <v>1146</v>
      </c>
      <c r="AU26" s="806">
        <f t="shared" si="17"/>
        <v>377.95</v>
      </c>
      <c r="AV26" s="29"/>
      <c r="AW26" s="142" t="s">
        <v>1375</v>
      </c>
      <c r="AX26" s="53" t="s">
        <v>1178</v>
      </c>
      <c r="AY26" s="937">
        <v>6187.86</v>
      </c>
      <c r="AZ26" s="109"/>
      <c r="BB26" s="70"/>
      <c r="BC26" s="498" t="s">
        <v>1300</v>
      </c>
      <c r="BD26" s="503" t="s">
        <v>405</v>
      </c>
      <c r="BE26" s="873">
        <f>VLOOKUP("TV COMISS DEFENS 18 40H",RHE,10,FALSE)</f>
        <v>610.89</v>
      </c>
      <c r="BF26" s="71"/>
      <c r="BI26" s="108"/>
      <c r="BJ26" s="461" t="s">
        <v>1300</v>
      </c>
      <c r="BK26" s="462" t="s">
        <v>1146</v>
      </c>
      <c r="BL26" s="809">
        <f t="shared" si="1"/>
        <v>377.95</v>
      </c>
      <c r="BM26" s="806">
        <f>ROUNDDOWN(SUS03*0.75,2)</f>
        <v>8.7</v>
      </c>
      <c r="BN26" s="71"/>
      <c r="BP26" s="108"/>
      <c r="BQ26" s="145" t="s">
        <v>1300</v>
      </c>
      <c r="BR26" s="52" t="str">
        <f t="shared" si="4"/>
        <v>CC 06 - 30 h </v>
      </c>
      <c r="BS26" s="30" t="e">
        <f>'01'!#REF!</f>
        <v>#REF!</v>
      </c>
      <c r="BT26" s="29"/>
      <c r="BU26" s="29"/>
      <c r="BV26" s="29" t="s">
        <v>1242</v>
      </c>
      <c r="BW26" s="29" t="s">
        <v>1079</v>
      </c>
      <c r="BX26" s="109"/>
      <c r="BZ26" s="66" t="s">
        <v>883</v>
      </c>
      <c r="CA26" s="65">
        <f t="shared" si="18"/>
        <v>936.46</v>
      </c>
      <c r="CB26" s="29"/>
      <c r="CC26" s="70"/>
      <c r="CD26" s="532" t="s">
        <v>1296</v>
      </c>
      <c r="CE26" s="533" t="s">
        <v>726</v>
      </c>
      <c r="CF26" s="893">
        <f>VLOOKUP("TV MAGIST PL CARR 14 20H",RHE,10,FALSE)</f>
        <v>717.95</v>
      </c>
      <c r="CG26" s="29"/>
      <c r="CH26" s="532" t="s">
        <v>1314</v>
      </c>
      <c r="CI26" s="533" t="s">
        <v>293</v>
      </c>
      <c r="CJ26" s="893">
        <f>VLOOKUP("TV MAGIST PL CARR 32 20H",RHE,10,FALSE)</f>
        <v>897.44</v>
      </c>
      <c r="CK26" s="71"/>
      <c r="CL26" s="29"/>
      <c r="CM26" s="70"/>
      <c r="CN26" s="29"/>
      <c r="CO26" s="29"/>
      <c r="CP26" s="498" t="s">
        <v>1316</v>
      </c>
      <c r="CQ26" s="898">
        <f t="shared" si="12"/>
        <v>733.38</v>
      </c>
      <c r="CR26" s="131"/>
      <c r="CS26" s="29"/>
      <c r="CT26" s="71"/>
      <c r="CU26" s="66" t="s">
        <v>726</v>
      </c>
      <c r="CV26" s="65">
        <f t="shared" si="19"/>
        <v>763.6</v>
      </c>
      <c r="CW26" s="425"/>
      <c r="CX26" s="423"/>
      <c r="CY26" s="409"/>
      <c r="CZ26" s="409"/>
      <c r="DA26" s="924"/>
      <c r="DB26" s="409"/>
      <c r="DC26" s="409"/>
      <c r="DD26" s="409"/>
      <c r="DE26" s="924"/>
      <c r="DF26" s="424"/>
      <c r="DG26" s="425"/>
      <c r="DH26" s="66" t="s">
        <v>718</v>
      </c>
      <c r="DI26" s="65">
        <f t="shared" si="2"/>
        <v>163.78</v>
      </c>
      <c r="DK26" s="108"/>
      <c r="DL26" s="461" t="s">
        <v>1300</v>
      </c>
      <c r="DM26" s="462" t="s">
        <v>943</v>
      </c>
      <c r="DN26" s="806">
        <f>VLOOKUP("TV COMISS PC/BM 06 40H",RHE,10,FALSE)</f>
        <v>163.78</v>
      </c>
      <c r="DO26" s="29"/>
      <c r="DP26" s="461" t="s">
        <v>1375</v>
      </c>
      <c r="DQ26" s="462" t="s">
        <v>979</v>
      </c>
      <c r="DR26" s="806">
        <f>VLOOKUP("TV COMISS TRIB CONT 06 40H",RHE,10,FALSE)</f>
        <v>726.2</v>
      </c>
      <c r="DS26" s="109"/>
      <c r="DU26" s="66" t="s">
        <v>718</v>
      </c>
      <c r="DV26" s="65">
        <f t="shared" si="3"/>
        <v>2994.84</v>
      </c>
      <c r="DX26" s="108"/>
      <c r="DY26" s="461" t="s">
        <v>1299</v>
      </c>
      <c r="DZ26" s="462" t="s">
        <v>1008</v>
      </c>
      <c r="EA26" s="806">
        <f>ROUNDDOWN(DN$18*5.5,2)</f>
        <v>2745.27</v>
      </c>
      <c r="EB26" s="29"/>
      <c r="EC26" s="498" t="s">
        <v>1369</v>
      </c>
      <c r="ED26" s="462" t="s">
        <v>745</v>
      </c>
      <c r="EE26" s="963">
        <f aca="true" t="shared" si="20" ref="EE26:EE33">EE14*2.3</f>
        <v>1023.1089999999999</v>
      </c>
      <c r="EF26" s="109"/>
      <c r="EH26" s="66" t="s">
        <v>718</v>
      </c>
      <c r="EI26" s="65">
        <f>ER34</f>
        <v>538.68</v>
      </c>
      <c r="EK26" s="108"/>
      <c r="EL26" s="464" t="s">
        <v>1294</v>
      </c>
      <c r="EM26" s="539" t="s">
        <v>774</v>
      </c>
      <c r="EN26" s="539" t="s">
        <v>10</v>
      </c>
      <c r="EO26" s="554">
        <v>0.96</v>
      </c>
      <c r="EP26" s="555">
        <v>40</v>
      </c>
      <c r="EQ26" s="556" t="s">
        <v>787</v>
      </c>
      <c r="ER26" s="820">
        <f>VLOOKUP("TV GD MAG DIRETOR 03 40H",RHE,10,FALSE)</f>
        <v>478.82</v>
      </c>
      <c r="ES26" s="109"/>
      <c r="EU26" s="108"/>
      <c r="EV26" s="461" t="s">
        <v>1316</v>
      </c>
      <c r="EW26" s="551" t="s">
        <v>774</v>
      </c>
      <c r="EX26" s="551" t="s">
        <v>683</v>
      </c>
      <c r="EY26" s="551">
        <v>0.75</v>
      </c>
      <c r="EZ26" s="553">
        <v>30</v>
      </c>
      <c r="FA26" s="806">
        <f>VLOOKUP("TV GD MAG ANEXO III 05 30H",RHE,10,FALSE)</f>
        <v>374.08</v>
      </c>
      <c r="FB26" s="109"/>
      <c r="FD26" s="86"/>
      <c r="FE26" s="87"/>
      <c r="FG26" s="108"/>
      <c r="FH26" s="1389"/>
      <c r="FI26" s="1332"/>
      <c r="FJ26" s="1388"/>
      <c r="FK26" s="109"/>
      <c r="FN26" s="108"/>
      <c r="FO26" s="112" t="s">
        <v>277</v>
      </c>
      <c r="FP26" s="949" t="s">
        <v>277</v>
      </c>
      <c r="FQ26" s="949"/>
      <c r="FR26" s="953"/>
      <c r="FS26" s="949"/>
      <c r="FT26" s="949"/>
      <c r="FU26" s="949"/>
      <c r="FV26" s="949"/>
      <c r="FW26" s="109"/>
      <c r="FY26" s="77"/>
      <c r="FZ26" s="77"/>
      <c r="GA26" s="77"/>
      <c r="GB26" s="77"/>
      <c r="GC26" s="77"/>
      <c r="GD26" s="77"/>
      <c r="GE26" s="77"/>
    </row>
    <row r="27" spans="8:179" ht="12">
      <c r="H27" s="86"/>
      <c r="I27" s="87"/>
      <c r="K27" s="108"/>
      <c r="L27" s="30"/>
      <c r="O27" s="832"/>
      <c r="P27" s="29"/>
      <c r="Q27" s="109"/>
      <c r="S27" s="86"/>
      <c r="T27" s="87"/>
      <c r="V27" s="108"/>
      <c r="W27" s="318"/>
      <c r="X27" s="30"/>
      <c r="Y27" s="29"/>
      <c r="Z27" s="318"/>
      <c r="AA27" s="30"/>
      <c r="AB27" s="109"/>
      <c r="AD27" s="66" t="s">
        <v>716</v>
      </c>
      <c r="AE27" s="65">
        <f t="shared" si="9"/>
        <v>2143.27</v>
      </c>
      <c r="AG27" s="108"/>
      <c r="AH27" s="30"/>
      <c r="AI27" s="461" t="s">
        <v>1299</v>
      </c>
      <c r="AJ27" s="462" t="s">
        <v>1224</v>
      </c>
      <c r="AK27" s="943">
        <v>2033.62</v>
      </c>
      <c r="AL27" s="451"/>
      <c r="AM27" s="109"/>
      <c r="AO27" s="66" t="s">
        <v>719</v>
      </c>
      <c r="AP27" s="65">
        <f t="shared" si="0"/>
        <v>422.19</v>
      </c>
      <c r="AR27" s="108"/>
      <c r="AS27" s="461" t="s">
        <v>1301</v>
      </c>
      <c r="AT27" s="462" t="s">
        <v>1147</v>
      </c>
      <c r="AU27" s="806">
        <f t="shared" si="17"/>
        <v>422.19</v>
      </c>
      <c r="AV27" s="29"/>
      <c r="AW27" s="142" t="s">
        <v>1376</v>
      </c>
      <c r="AX27" s="53" t="s">
        <v>1179</v>
      </c>
      <c r="AY27" s="937">
        <v>7270.74</v>
      </c>
      <c r="AZ27" s="109"/>
      <c r="BB27" s="70"/>
      <c r="BC27" s="498" t="s">
        <v>1301</v>
      </c>
      <c r="BD27" s="503" t="s">
        <v>406</v>
      </c>
      <c r="BE27" s="873">
        <f>VLOOKUP("TV COMISS DEFENS 19 40H",RHE,10,FALSE)</f>
        <v>1746.34</v>
      </c>
      <c r="BF27" s="71"/>
      <c r="BI27" s="108"/>
      <c r="BJ27" s="461" t="s">
        <v>1301</v>
      </c>
      <c r="BK27" s="462" t="s">
        <v>1147</v>
      </c>
      <c r="BL27" s="809">
        <f t="shared" si="1"/>
        <v>422.19</v>
      </c>
      <c r="BM27" s="806">
        <f>ROUNDDOWN(SUS03*0.75,2)</f>
        <v>8.7</v>
      </c>
      <c r="BN27" s="71"/>
      <c r="BP27" s="108"/>
      <c r="BQ27" s="145" t="s">
        <v>1301</v>
      </c>
      <c r="BR27" s="52" t="str">
        <f t="shared" si="4"/>
        <v>CC 07 - 30 h</v>
      </c>
      <c r="BS27" s="30" t="e">
        <f>'01'!#REF!</f>
        <v>#REF!</v>
      </c>
      <c r="BT27" s="29"/>
      <c r="BU27" s="29"/>
      <c r="BV27" s="29" t="s">
        <v>1243</v>
      </c>
      <c r="BW27" s="29" t="s">
        <v>1079</v>
      </c>
      <c r="BX27" s="109"/>
      <c r="BZ27" s="66" t="s">
        <v>884</v>
      </c>
      <c r="CA27" s="65">
        <f t="shared" si="18"/>
        <v>1154.97</v>
      </c>
      <c r="CB27" s="29"/>
      <c r="CC27" s="70"/>
      <c r="CD27" s="532" t="s">
        <v>1297</v>
      </c>
      <c r="CE27" s="533" t="s">
        <v>812</v>
      </c>
      <c r="CF27" s="893">
        <f>VLOOKUP("TV MAGIST PL CARR 15 20H",RHE,10,FALSE)</f>
        <v>811.6</v>
      </c>
      <c r="CG27" s="29"/>
      <c r="CH27" s="532" t="s">
        <v>1315</v>
      </c>
      <c r="CI27" s="533" t="s">
        <v>1407</v>
      </c>
      <c r="CJ27" s="893">
        <f>VLOOKUP("TV MAGIST PL CARR 33 20H",RHE,10,FALSE)</f>
        <v>1014.5</v>
      </c>
      <c r="CK27" s="71"/>
      <c r="CL27" s="29"/>
      <c r="CM27" s="70"/>
      <c r="CN27" s="29"/>
      <c r="CO27" s="29"/>
      <c r="CP27" s="498" t="s">
        <v>1317</v>
      </c>
      <c r="CQ27" s="898">
        <f t="shared" si="12"/>
        <v>754.95</v>
      </c>
      <c r="CR27" s="131"/>
      <c r="CS27" s="29"/>
      <c r="CT27" s="71"/>
      <c r="CU27" s="66" t="s">
        <v>812</v>
      </c>
      <c r="CV27" s="65">
        <f t="shared" si="19"/>
        <v>863.2</v>
      </c>
      <c r="CW27" s="425"/>
      <c r="CX27" s="423"/>
      <c r="CY27" s="530" t="s">
        <v>1295</v>
      </c>
      <c r="CZ27" s="531" t="s">
        <v>810</v>
      </c>
      <c r="DA27" s="892">
        <f aca="true" t="shared" si="21" ref="DA27:DA32">ROUND(CF25*1.0636,1)</f>
        <v>664</v>
      </c>
      <c r="DB27" s="425"/>
      <c r="DC27" s="530" t="s">
        <v>1313</v>
      </c>
      <c r="DD27" s="531" t="s">
        <v>292</v>
      </c>
      <c r="DE27" s="892">
        <f aca="true" t="shared" si="22" ref="DE27:DE32">ROUND(CJ25*1.0636,1)</f>
        <v>830</v>
      </c>
      <c r="DF27" s="424"/>
      <c r="DG27" s="425"/>
      <c r="DH27" s="66" t="s">
        <v>719</v>
      </c>
      <c r="DI27" s="65">
        <f t="shared" si="2"/>
        <v>185.73</v>
      </c>
      <c r="DK27" s="108"/>
      <c r="DL27" s="461" t="s">
        <v>1301</v>
      </c>
      <c r="DM27" s="462" t="s">
        <v>944</v>
      </c>
      <c r="DN27" s="806">
        <f>VLOOKUP("TV COMISS PC/BM 07 40H",RHE,10,FALSE)</f>
        <v>185.73</v>
      </c>
      <c r="DO27" s="29"/>
      <c r="DP27" s="461" t="s">
        <v>1376</v>
      </c>
      <c r="DQ27" s="462" t="s">
        <v>980</v>
      </c>
      <c r="DR27" s="806">
        <f>VLOOKUP("TV COMISS TRIB CONT 08 40H",RHE,10,FALSE)</f>
        <v>810.67</v>
      </c>
      <c r="DS27" s="109"/>
      <c r="DU27" s="66" t="s">
        <v>719</v>
      </c>
      <c r="DV27" s="65">
        <f t="shared" si="3"/>
        <v>436.56</v>
      </c>
      <c r="DX27" s="108"/>
      <c r="DY27" s="461" t="s">
        <v>1300</v>
      </c>
      <c r="DZ27" s="462" t="s">
        <v>1009</v>
      </c>
      <c r="EA27" s="806">
        <f>ROUNDDOWN(DN$18*6,2)</f>
        <v>2994.84</v>
      </c>
      <c r="EB27" s="29"/>
      <c r="EC27" s="498" t="s">
        <v>1370</v>
      </c>
      <c r="ED27" s="462" t="s">
        <v>746</v>
      </c>
      <c r="EE27" s="963">
        <f t="shared" si="20"/>
        <v>1159.062</v>
      </c>
      <c r="EF27" s="109"/>
      <c r="EH27" s="66" t="s">
        <v>719</v>
      </c>
      <c r="EI27" s="65">
        <f>ER35</f>
        <v>498.78</v>
      </c>
      <c r="EK27" s="108"/>
      <c r="ER27" s="832"/>
      <c r="ES27" s="109"/>
      <c r="EU27" s="108"/>
      <c r="EV27" s="461" t="s">
        <v>1317</v>
      </c>
      <c r="EW27" s="551" t="s">
        <v>774</v>
      </c>
      <c r="EX27" s="551" t="s">
        <v>683</v>
      </c>
      <c r="EY27" s="551">
        <v>0.99</v>
      </c>
      <c r="EZ27" s="553">
        <v>40</v>
      </c>
      <c r="FA27" s="806">
        <f>VLOOKUP("TV GD MAG ANEXO III 05 40H",RHE,10,FALSE)</f>
        <v>493.79</v>
      </c>
      <c r="FB27" s="109"/>
      <c r="FD27" s="86"/>
      <c r="FE27" s="87"/>
      <c r="FG27" s="108"/>
      <c r="FH27" s="1389"/>
      <c r="FI27" s="1332"/>
      <c r="FJ27" s="1388"/>
      <c r="FK27" s="109"/>
      <c r="FN27" s="108"/>
      <c r="FO27" s="29"/>
      <c r="FP27" s="869"/>
      <c r="FQ27" s="832"/>
      <c r="FR27" s="859"/>
      <c r="FS27" s="832"/>
      <c r="FT27" s="832"/>
      <c r="FU27" s="869"/>
      <c r="FV27" s="869"/>
      <c r="FW27" s="109"/>
    </row>
    <row r="28" spans="8:179" ht="12.75" customHeight="1">
      <c r="H28" s="86"/>
      <c r="I28" s="87"/>
      <c r="K28" s="108"/>
      <c r="L28" s="30" t="s">
        <v>1079</v>
      </c>
      <c r="M28" s="1288" t="s">
        <v>685</v>
      </c>
      <c r="N28" s="1289"/>
      <c r="O28" s="871"/>
      <c r="P28" s="29"/>
      <c r="Q28" s="109"/>
      <c r="S28" s="86"/>
      <c r="T28" s="87"/>
      <c r="V28" s="108"/>
      <c r="W28" s="318"/>
      <c r="X28" s="30"/>
      <c r="Y28" s="29"/>
      <c r="Z28" s="318"/>
      <c r="AA28" s="30"/>
      <c r="AB28" s="109"/>
      <c r="AD28" s="66" t="s">
        <v>717</v>
      </c>
      <c r="AE28" s="65">
        <f t="shared" si="9"/>
        <v>2033.62</v>
      </c>
      <c r="AG28" s="108"/>
      <c r="AH28" s="30"/>
      <c r="AI28" s="461" t="s">
        <v>1300</v>
      </c>
      <c r="AJ28" s="462" t="s">
        <v>1225</v>
      </c>
      <c r="AK28" s="943">
        <v>1999.95</v>
      </c>
      <c r="AL28" s="451"/>
      <c r="AM28" s="109"/>
      <c r="AO28" s="66" t="s">
        <v>720</v>
      </c>
      <c r="AP28" s="65">
        <f t="shared" si="0"/>
        <v>637.65</v>
      </c>
      <c r="AR28" s="108"/>
      <c r="AS28" s="461" t="s">
        <v>1302</v>
      </c>
      <c r="AT28" s="462" t="s">
        <v>1148</v>
      </c>
      <c r="AU28" s="806">
        <f t="shared" si="17"/>
        <v>637.65</v>
      </c>
      <c r="AV28" s="29"/>
      <c r="AW28" s="142" t="s">
        <v>1377</v>
      </c>
      <c r="AX28" s="53" t="s">
        <v>1180</v>
      </c>
      <c r="AY28" s="937">
        <v>1823.41</v>
      </c>
      <c r="AZ28" s="109"/>
      <c r="BB28" s="70"/>
      <c r="BC28" s="498" t="s">
        <v>1302</v>
      </c>
      <c r="BD28" s="503" t="s">
        <v>407</v>
      </c>
      <c r="BE28" s="873">
        <f>VLOOKUP("TV COMISS DEFENS 20 40H",RHE,10,FALSE)</f>
        <v>698.78</v>
      </c>
      <c r="BF28" s="71"/>
      <c r="BI28" s="108"/>
      <c r="BJ28" s="461" t="s">
        <v>1302</v>
      </c>
      <c r="BK28" s="462" t="s">
        <v>1148</v>
      </c>
      <c r="BL28" s="809">
        <f t="shared" si="1"/>
        <v>637.65</v>
      </c>
      <c r="BM28" s="806">
        <f>ROUNDDOWN(SUS04*0.75,2)</f>
        <v>10.05</v>
      </c>
      <c r="BN28" s="71"/>
      <c r="BP28" s="108"/>
      <c r="BQ28" s="145" t="s">
        <v>1302</v>
      </c>
      <c r="BR28" s="52" t="str">
        <f t="shared" si="4"/>
        <v>CC 08 - 30 h</v>
      </c>
      <c r="BS28" s="30" t="e">
        <f>'01'!#REF!</f>
        <v>#REF!</v>
      </c>
      <c r="BT28" s="29"/>
      <c r="BU28" s="29"/>
      <c r="BV28" s="29" t="s">
        <v>1244</v>
      </c>
      <c r="BW28" s="29" t="s">
        <v>1079</v>
      </c>
      <c r="BX28" s="109"/>
      <c r="BZ28" s="66" t="s">
        <v>885</v>
      </c>
      <c r="CA28" s="65">
        <f t="shared" si="18"/>
        <v>1248.62</v>
      </c>
      <c r="CB28" s="29"/>
      <c r="CC28" s="70"/>
      <c r="CD28" s="532" t="s">
        <v>1298</v>
      </c>
      <c r="CE28" s="533" t="s">
        <v>883</v>
      </c>
      <c r="CF28" s="893">
        <f>VLOOKUP("TV MAGIST PL CARR 16 20H",RHE,10,FALSE)</f>
        <v>936.46</v>
      </c>
      <c r="CG28" s="29"/>
      <c r="CH28" s="532" t="s">
        <v>1316</v>
      </c>
      <c r="CI28" s="533" t="s">
        <v>313</v>
      </c>
      <c r="CJ28" s="893">
        <f>VLOOKUP("TV MAGIST PL CARR 34 20H",RHE,10,FALSE)</f>
        <v>1170.58</v>
      </c>
      <c r="CK28" s="71"/>
      <c r="CL28" s="29"/>
      <c r="CM28" s="70"/>
      <c r="CN28" s="29"/>
      <c r="CO28" s="29"/>
      <c r="CP28" s="498" t="s">
        <v>1318</v>
      </c>
      <c r="CQ28" s="898">
        <f t="shared" si="12"/>
        <v>776.52</v>
      </c>
      <c r="CR28" s="131"/>
      <c r="CS28" s="29"/>
      <c r="CT28" s="71"/>
      <c r="CU28" s="66" t="s">
        <v>883</v>
      </c>
      <c r="CV28" s="65">
        <f t="shared" si="19"/>
        <v>996</v>
      </c>
      <c r="CW28" s="425"/>
      <c r="CX28" s="423"/>
      <c r="CY28" s="532" t="s">
        <v>1296</v>
      </c>
      <c r="CZ28" s="533" t="s">
        <v>726</v>
      </c>
      <c r="DA28" s="893">
        <f t="shared" si="21"/>
        <v>763.6</v>
      </c>
      <c r="DB28" s="425"/>
      <c r="DC28" s="532" t="s">
        <v>1314</v>
      </c>
      <c r="DD28" s="533" t="s">
        <v>293</v>
      </c>
      <c r="DE28" s="893">
        <f t="shared" si="22"/>
        <v>954.5</v>
      </c>
      <c r="DF28" s="424"/>
      <c r="DG28" s="425"/>
      <c r="DH28" s="66" t="s">
        <v>720</v>
      </c>
      <c r="DI28" s="65">
        <f t="shared" si="2"/>
        <v>207.55</v>
      </c>
      <c r="DK28" s="108"/>
      <c r="DL28" s="461" t="s">
        <v>1302</v>
      </c>
      <c r="DM28" s="462" t="s">
        <v>945</v>
      </c>
      <c r="DN28" s="806">
        <f>VLOOKUP("TV COMISS PC/BM 08 40H",RHE,10,FALSE)</f>
        <v>207.55</v>
      </c>
      <c r="DO28" s="29"/>
      <c r="DP28" s="461" t="s">
        <v>1377</v>
      </c>
      <c r="DQ28" s="462" t="s">
        <v>981</v>
      </c>
      <c r="DR28" s="806">
        <f>VLOOKUP("TV COMISS TRIB CONT 10 40H",RHE,10,FALSE)</f>
        <v>1141.58</v>
      </c>
      <c r="DS28" s="109"/>
      <c r="DU28" s="66" t="s">
        <v>720</v>
      </c>
      <c r="DV28" s="65">
        <f t="shared" si="3"/>
        <v>499.14</v>
      </c>
      <c r="DX28" s="108"/>
      <c r="DY28" s="461" t="s">
        <v>1301</v>
      </c>
      <c r="DZ28" s="462" t="s">
        <v>1010</v>
      </c>
      <c r="EA28" s="451">
        <f>DN17</f>
        <v>436.56</v>
      </c>
      <c r="EB28" s="29"/>
      <c r="EC28" s="498" t="s">
        <v>1371</v>
      </c>
      <c r="ED28" s="462" t="s">
        <v>747</v>
      </c>
      <c r="EE28" s="963">
        <f t="shared" si="20"/>
        <v>1294.7389999999998</v>
      </c>
      <c r="EF28" s="109"/>
      <c r="EH28" s="66" t="s">
        <v>720</v>
      </c>
      <c r="EI28" s="65">
        <f>ER36</f>
        <v>663.37</v>
      </c>
      <c r="EK28" s="108"/>
      <c r="EL28" s="459" t="s">
        <v>1295</v>
      </c>
      <c r="EM28" s="537" t="s">
        <v>775</v>
      </c>
      <c r="EN28" s="537" t="s">
        <v>771</v>
      </c>
      <c r="EO28" s="549">
        <v>0.47</v>
      </c>
      <c r="EP28" s="550">
        <v>20</v>
      </c>
      <c r="EQ28" s="542" t="s">
        <v>788</v>
      </c>
      <c r="ER28" s="805">
        <f>VLOOKUP("TV GD MAG VICE 04 20H",RHE,10,FALSE)</f>
        <v>234.42</v>
      </c>
      <c r="ES28" s="109"/>
      <c r="EU28" s="108"/>
      <c r="EV28" s="461" t="s">
        <v>1318</v>
      </c>
      <c r="EW28" s="551" t="s">
        <v>774</v>
      </c>
      <c r="EX28" s="551" t="s">
        <v>684</v>
      </c>
      <c r="EY28" s="551">
        <v>0.55</v>
      </c>
      <c r="EZ28" s="553">
        <v>20</v>
      </c>
      <c r="FA28" s="806">
        <f>VLOOKUP("TV GD MAG ANEXO III 06 20H",RHE,10,FALSE)</f>
        <v>274.32</v>
      </c>
      <c r="FB28" s="109"/>
      <c r="FD28" s="86"/>
      <c r="FE28" s="87"/>
      <c r="FG28" s="108"/>
      <c r="FH28" s="1389"/>
      <c r="FI28" s="1332"/>
      <c r="FJ28" s="1388"/>
      <c r="FK28" s="109"/>
      <c r="FN28" s="108"/>
      <c r="FO28" s="536" t="s">
        <v>1074</v>
      </c>
      <c r="FP28" s="805">
        <f>ROUNDDOWN(DR15*1.6,2)</f>
        <v>507.8</v>
      </c>
      <c r="FQ28" s="869"/>
      <c r="FR28" s="948" t="s">
        <v>1076</v>
      </c>
      <c r="FS28" s="805">
        <f>ROUNDDOWN(FV28*0.2,2)</f>
        <v>348.91</v>
      </c>
      <c r="FT28" s="949"/>
      <c r="FU28" s="950" t="s">
        <v>1088</v>
      </c>
      <c r="FV28" s="951">
        <f>ROUNDDOWN(AU46*1.6,2)</f>
        <v>1744.59</v>
      </c>
      <c r="FW28" s="109"/>
    </row>
    <row r="29" spans="8:179" ht="12.75" customHeight="1">
      <c r="H29" s="86"/>
      <c r="I29" s="87"/>
      <c r="K29" s="108"/>
      <c r="L29" s="30"/>
      <c r="M29" s="1284" t="s">
        <v>3</v>
      </c>
      <c r="N29" s="1285"/>
      <c r="O29" s="872">
        <f>PISO_MAG/2</f>
        <v>431.4</v>
      </c>
      <c r="P29" s="29"/>
      <c r="Q29" s="109"/>
      <c r="S29" s="86"/>
      <c r="T29" s="87"/>
      <c r="V29" s="108"/>
      <c r="W29" s="318"/>
      <c r="X29" s="30"/>
      <c r="Y29" s="29"/>
      <c r="Z29" s="318"/>
      <c r="AA29" s="30"/>
      <c r="AB29" s="109"/>
      <c r="AD29" s="66" t="s">
        <v>718</v>
      </c>
      <c r="AE29" s="65">
        <f t="shared" si="9"/>
        <v>1999.95</v>
      </c>
      <c r="AG29" s="108"/>
      <c r="AH29" s="30"/>
      <c r="AI29" s="493" t="s">
        <v>1301</v>
      </c>
      <c r="AJ29" s="484" t="s">
        <v>1226</v>
      </c>
      <c r="AK29" s="944">
        <v>1885.87</v>
      </c>
      <c r="AL29" s="494"/>
      <c r="AM29" s="109"/>
      <c r="AO29" s="66" t="s">
        <v>870</v>
      </c>
      <c r="AP29" s="65">
        <f t="shared" si="0"/>
        <v>817.77</v>
      </c>
      <c r="AR29" s="108"/>
      <c r="AS29" s="461" t="s">
        <v>1303</v>
      </c>
      <c r="AT29" s="462" t="s">
        <v>1149</v>
      </c>
      <c r="AU29" s="806">
        <f t="shared" si="17"/>
        <v>817.77</v>
      </c>
      <c r="AV29" s="29"/>
      <c r="AW29" s="142" t="s">
        <v>1378</v>
      </c>
      <c r="AX29" s="53" t="s">
        <v>1181</v>
      </c>
      <c r="AY29" s="937">
        <v>2290.63</v>
      </c>
      <c r="AZ29" s="109" t="s">
        <v>1079</v>
      </c>
      <c r="BB29" s="70"/>
      <c r="BC29" s="498" t="s">
        <v>1303</v>
      </c>
      <c r="BD29" s="503" t="s">
        <v>408</v>
      </c>
      <c r="BE29" s="873">
        <f>VLOOKUP("TV COMISS DEFENS 21 40H",RHE,10,FALSE)</f>
        <v>1944.54</v>
      </c>
      <c r="BF29" s="71"/>
      <c r="BI29" s="108"/>
      <c r="BJ29" s="461" t="s">
        <v>1303</v>
      </c>
      <c r="BK29" s="462" t="s">
        <v>1149</v>
      </c>
      <c r="BL29" s="809">
        <f t="shared" si="1"/>
        <v>817.77</v>
      </c>
      <c r="BM29" s="806">
        <f>ROUNDDOWN(SUS04*0.75,2)</f>
        <v>10.05</v>
      </c>
      <c r="BN29" s="71"/>
      <c r="BP29" s="108"/>
      <c r="BQ29" s="145" t="s">
        <v>1303</v>
      </c>
      <c r="BR29" s="52" t="str">
        <f t="shared" si="4"/>
        <v>CC 09 - 30 h</v>
      </c>
      <c r="BS29" s="30" t="s">
        <v>1079</v>
      </c>
      <c r="BT29" s="29"/>
      <c r="BU29" s="29"/>
      <c r="BV29" s="29" t="s">
        <v>1245</v>
      </c>
      <c r="BW29" s="29" t="s">
        <v>1079</v>
      </c>
      <c r="BX29" s="109" t="s">
        <v>1079</v>
      </c>
      <c r="BZ29" s="66" t="s">
        <v>828</v>
      </c>
      <c r="CA29" s="65">
        <f aca="true" t="shared" si="23" ref="CA29:CA34">CJ11</f>
        <v>676.33</v>
      </c>
      <c r="CB29" s="29"/>
      <c r="CC29" s="70"/>
      <c r="CD29" s="532" t="s">
        <v>1299</v>
      </c>
      <c r="CE29" s="533" t="s">
        <v>884</v>
      </c>
      <c r="CF29" s="893">
        <f>VLOOKUP("TV MAGIST PL CARR 17 20H",RHE,10,FALSE)</f>
        <v>1154.97</v>
      </c>
      <c r="CG29" s="29"/>
      <c r="CH29" s="532" t="s">
        <v>1317</v>
      </c>
      <c r="CI29" s="533" t="s">
        <v>52</v>
      </c>
      <c r="CJ29" s="893">
        <f>VLOOKUP("TV MAGIST PL CARR 35 20H",RHE,10,FALSE)</f>
        <v>1443.72</v>
      </c>
      <c r="CK29" s="71"/>
      <c r="CL29" s="29"/>
      <c r="CM29" s="70"/>
      <c r="CN29" s="29"/>
      <c r="CO29" s="29"/>
      <c r="CP29" s="498" t="s">
        <v>1319</v>
      </c>
      <c r="CQ29" s="898">
        <f t="shared" si="12"/>
        <v>798.09</v>
      </c>
      <c r="CR29" s="131"/>
      <c r="CS29" s="29"/>
      <c r="CT29" s="71"/>
      <c r="CU29" s="66" t="s">
        <v>884</v>
      </c>
      <c r="CV29" s="65">
        <f t="shared" si="19"/>
        <v>1228.4</v>
      </c>
      <c r="CW29" s="425"/>
      <c r="CX29" s="423"/>
      <c r="CY29" s="532" t="s">
        <v>1297</v>
      </c>
      <c r="CZ29" s="533" t="s">
        <v>812</v>
      </c>
      <c r="DA29" s="893">
        <f t="shared" si="21"/>
        <v>863.2</v>
      </c>
      <c r="DB29" s="425"/>
      <c r="DC29" s="532" t="s">
        <v>1315</v>
      </c>
      <c r="DD29" s="533" t="s">
        <v>1407</v>
      </c>
      <c r="DE29" s="893">
        <f t="shared" si="22"/>
        <v>1079</v>
      </c>
      <c r="DF29" s="424"/>
      <c r="DG29" s="425"/>
      <c r="DH29" s="66" t="s">
        <v>870</v>
      </c>
      <c r="DI29" s="65">
        <f t="shared" si="2"/>
        <v>275.65</v>
      </c>
      <c r="DK29" s="108"/>
      <c r="DL29" s="461" t="s">
        <v>1303</v>
      </c>
      <c r="DM29" s="462" t="s">
        <v>946</v>
      </c>
      <c r="DN29" s="806">
        <f>VLOOKUP("TV COMISS PC/BM 09 40H",RHE,10,FALSE)</f>
        <v>275.65</v>
      </c>
      <c r="DO29" s="29"/>
      <c r="DP29" s="461" t="s">
        <v>1378</v>
      </c>
      <c r="DQ29" s="462" t="s">
        <v>982</v>
      </c>
      <c r="DR29" s="806">
        <f>VLOOKUP("TV COMISS TRIB CONT 12 40H",RHE,10,FALSE)</f>
        <v>1411.41</v>
      </c>
      <c r="DS29" s="109"/>
      <c r="DU29" s="66" t="s">
        <v>870</v>
      </c>
      <c r="DV29" s="65">
        <f t="shared" si="3"/>
        <v>555.74</v>
      </c>
      <c r="DX29" s="108"/>
      <c r="DY29" s="461" t="s">
        <v>1302</v>
      </c>
      <c r="DZ29" s="462" t="s">
        <v>1011</v>
      </c>
      <c r="EA29" s="806">
        <f>DN18</f>
        <v>499.14</v>
      </c>
      <c r="EB29" s="29"/>
      <c r="EC29" s="498" t="s">
        <v>1372</v>
      </c>
      <c r="ED29" s="462" t="s">
        <v>748</v>
      </c>
      <c r="EE29" s="963">
        <f t="shared" si="20"/>
        <v>1955.483</v>
      </c>
      <c r="EF29" s="109"/>
      <c r="EH29" s="66" t="s">
        <v>870</v>
      </c>
      <c r="EI29" s="65">
        <f aca="true" t="shared" si="24" ref="EI29:EI52">FA13</f>
        <v>134.67</v>
      </c>
      <c r="EK29" s="108"/>
      <c r="EL29" s="461" t="s">
        <v>1296</v>
      </c>
      <c r="EM29" s="551" t="s">
        <v>775</v>
      </c>
      <c r="EN29" s="551" t="s">
        <v>771</v>
      </c>
      <c r="EO29" s="552">
        <v>0.47</v>
      </c>
      <c r="EP29" s="553">
        <v>40</v>
      </c>
      <c r="EQ29" s="529" t="s">
        <v>788</v>
      </c>
      <c r="ER29" s="806">
        <f>VLOOKUP("TV GD MAG VICE 04 40H",RHE,10,FALSE)</f>
        <v>468.84</v>
      </c>
      <c r="ES29" s="109"/>
      <c r="EU29" s="108"/>
      <c r="EV29" s="461" t="s">
        <v>1319</v>
      </c>
      <c r="EW29" s="551" t="s">
        <v>774</v>
      </c>
      <c r="EX29" s="551" t="s">
        <v>684</v>
      </c>
      <c r="EY29" s="551">
        <v>0.82</v>
      </c>
      <c r="EZ29" s="553">
        <v>30</v>
      </c>
      <c r="FA29" s="806">
        <f>VLOOKUP("TV GD MAG ANEXO III 06 30H",RHE,10,FALSE)</f>
        <v>408.99</v>
      </c>
      <c r="FB29" s="109"/>
      <c r="FD29" s="86"/>
      <c r="FE29" s="87"/>
      <c r="FG29" s="108"/>
      <c r="FH29" s="1389"/>
      <c r="FI29" s="1332"/>
      <c r="FJ29" s="1388"/>
      <c r="FK29" s="109"/>
      <c r="FN29" s="108"/>
      <c r="FO29" s="538" t="s">
        <v>1406</v>
      </c>
      <c r="FP29" s="820">
        <f>ROUNDDOWN(DR16*1.6,2)</f>
        <v>798.62</v>
      </c>
      <c r="FQ29" s="949"/>
      <c r="FR29" s="952" t="s">
        <v>57</v>
      </c>
      <c r="FS29" s="806">
        <f>ROUNDDOWN(FV28*0.3,2)</f>
        <v>523.37</v>
      </c>
      <c r="FT29" s="949"/>
      <c r="FU29" s="869"/>
      <c r="FV29" s="869"/>
      <c r="FW29" s="109"/>
    </row>
    <row r="30" spans="8:179" ht="12.75" customHeight="1">
      <c r="H30" s="86"/>
      <c r="I30" s="87"/>
      <c r="K30" s="108"/>
      <c r="L30" s="30"/>
      <c r="M30" s="1303" t="s">
        <v>2</v>
      </c>
      <c r="N30" s="1182"/>
      <c r="O30" s="873">
        <f>PISO_MAG*0.75</f>
        <v>647.0999999999999</v>
      </c>
      <c r="P30" s="29"/>
      <c r="Q30" s="109"/>
      <c r="S30" s="86"/>
      <c r="T30" s="87"/>
      <c r="V30" s="108"/>
      <c r="W30" s="318"/>
      <c r="X30" s="30"/>
      <c r="Y30" s="29"/>
      <c r="Z30" s="318"/>
      <c r="AA30" s="30"/>
      <c r="AB30" s="109"/>
      <c r="AD30" s="66" t="s">
        <v>719</v>
      </c>
      <c r="AE30" s="65">
        <f t="shared" si="9"/>
        <v>1885.87</v>
      </c>
      <c r="AG30" s="108"/>
      <c r="AH30" s="30"/>
      <c r="AI30" s="495" t="s">
        <v>1313</v>
      </c>
      <c r="AJ30" s="489" t="s">
        <v>432</v>
      </c>
      <c r="AK30" s="810">
        <f>VLOOKUP("TV ESPECIAL DAE 01 40H",RHE,10,FALSE)</f>
        <v>4937.65</v>
      </c>
      <c r="AL30" s="807">
        <f>VLOOKUP("TV ESPECIAL DAE 01 40H",RHE,12,FALSE)</f>
        <v>0</v>
      </c>
      <c r="AM30" s="109"/>
      <c r="AO30" s="66" t="s">
        <v>871</v>
      </c>
      <c r="AP30" s="65">
        <f t="shared" si="0"/>
        <v>935.67</v>
      </c>
      <c r="AR30" s="108"/>
      <c r="AS30" s="461" t="s">
        <v>1304</v>
      </c>
      <c r="AT30" s="462" t="s">
        <v>1150</v>
      </c>
      <c r="AU30" s="806">
        <f t="shared" si="17"/>
        <v>935.67</v>
      </c>
      <c r="AV30" s="29"/>
      <c r="AW30" s="142" t="s">
        <v>1379</v>
      </c>
      <c r="AX30" s="53" t="s">
        <v>1182</v>
      </c>
      <c r="AY30" s="937">
        <v>2763.11</v>
      </c>
      <c r="AZ30" s="109" t="s">
        <v>1079</v>
      </c>
      <c r="BB30" s="70"/>
      <c r="BC30" s="498" t="s">
        <v>1304</v>
      </c>
      <c r="BD30" s="503" t="s">
        <v>409</v>
      </c>
      <c r="BE30" s="873">
        <f>VLOOKUP("TV COMISS DEFENS 22 40H",RHE,10,FALSE)</f>
        <v>777.67</v>
      </c>
      <c r="BF30" s="71"/>
      <c r="BI30" s="108"/>
      <c r="BJ30" s="461" t="s">
        <v>1304</v>
      </c>
      <c r="BK30" s="462" t="s">
        <v>1150</v>
      </c>
      <c r="BL30" s="809">
        <f t="shared" si="1"/>
        <v>935.67</v>
      </c>
      <c r="BM30" s="806">
        <f>ROUNDDOWN(SUS04*0.75,2)</f>
        <v>10.05</v>
      </c>
      <c r="BN30" s="71"/>
      <c r="BP30" s="108"/>
      <c r="BQ30" s="145" t="s">
        <v>1304</v>
      </c>
      <c r="BR30" s="52" t="str">
        <f t="shared" si="4"/>
        <v>CC 10 - 30 h </v>
      </c>
      <c r="BS30" s="30" t="s">
        <v>1079</v>
      </c>
      <c r="BT30" s="29"/>
      <c r="BU30" s="29"/>
      <c r="BV30" s="29" t="s">
        <v>1246</v>
      </c>
      <c r="BW30" s="29" t="s">
        <v>1079</v>
      </c>
      <c r="BX30" s="109" t="s">
        <v>1079</v>
      </c>
      <c r="BZ30" s="66" t="s">
        <v>829</v>
      </c>
      <c r="CA30" s="65">
        <f t="shared" si="23"/>
        <v>777.78</v>
      </c>
      <c r="CB30" s="29"/>
      <c r="CC30" s="70"/>
      <c r="CD30" s="534" t="s">
        <v>1300</v>
      </c>
      <c r="CE30" s="535" t="s">
        <v>885</v>
      </c>
      <c r="CF30" s="894">
        <f>VLOOKUP("TV MAGIST PL CARR 18 20H",RHE,10,FALSE)</f>
        <v>1248.62</v>
      </c>
      <c r="CG30" s="29"/>
      <c r="CH30" s="534" t="s">
        <v>1318</v>
      </c>
      <c r="CI30" s="535" t="s">
        <v>53</v>
      </c>
      <c r="CJ30" s="894">
        <f>VLOOKUP("TV MAGIST PL CARR 36 20H",RHE,10,FALSE)</f>
        <v>1560.78</v>
      </c>
      <c r="CK30" s="71"/>
      <c r="CL30" s="29"/>
      <c r="CM30" s="70"/>
      <c r="CN30" s="29"/>
      <c r="CO30" s="29"/>
      <c r="CP30" s="498" t="s">
        <v>196</v>
      </c>
      <c r="CQ30" s="898">
        <f t="shared" si="12"/>
        <v>819.66</v>
      </c>
      <c r="CR30" s="131"/>
      <c r="CS30" s="29"/>
      <c r="CT30" s="71"/>
      <c r="CU30" s="66" t="s">
        <v>885</v>
      </c>
      <c r="CV30" s="65">
        <f t="shared" si="19"/>
        <v>1328</v>
      </c>
      <c r="CW30" s="425"/>
      <c r="CX30" s="423"/>
      <c r="CY30" s="532" t="s">
        <v>1298</v>
      </c>
      <c r="CZ30" s="533" t="s">
        <v>883</v>
      </c>
      <c r="DA30" s="893">
        <f t="shared" si="21"/>
        <v>996</v>
      </c>
      <c r="DB30" s="425"/>
      <c r="DC30" s="532" t="s">
        <v>1316</v>
      </c>
      <c r="DD30" s="533" t="s">
        <v>313</v>
      </c>
      <c r="DE30" s="893">
        <f t="shared" si="22"/>
        <v>1245</v>
      </c>
      <c r="DF30" s="424"/>
      <c r="DG30" s="425"/>
      <c r="DH30" s="66" t="s">
        <v>871</v>
      </c>
      <c r="DI30" s="65">
        <f t="shared" si="2"/>
        <v>301.19</v>
      </c>
      <c r="DK30" s="108"/>
      <c r="DL30" s="461" t="s">
        <v>1304</v>
      </c>
      <c r="DM30" s="462" t="s">
        <v>947</v>
      </c>
      <c r="DN30" s="806">
        <f>VLOOKUP("TV COMISS PC/BM 10 40H",RHE,10,FALSE)</f>
        <v>301.19</v>
      </c>
      <c r="DO30" s="29"/>
      <c r="DP30" s="461" t="s">
        <v>1379</v>
      </c>
      <c r="DQ30" s="462" t="s">
        <v>983</v>
      </c>
      <c r="DR30" s="806">
        <f>VLOOKUP("TV COMISS TRIB CONT 14 40H",RHE,10,FALSE)</f>
        <v>1662.92</v>
      </c>
      <c r="DS30" s="109"/>
      <c r="DU30" s="66" t="s">
        <v>871</v>
      </c>
      <c r="DV30" s="65">
        <f t="shared" si="3"/>
        <v>708.97</v>
      </c>
      <c r="DX30" s="108"/>
      <c r="DY30" s="461" t="s">
        <v>1303</v>
      </c>
      <c r="DZ30" s="462" t="s">
        <v>1012</v>
      </c>
      <c r="EA30" s="806">
        <f>DN19</f>
        <v>555.74</v>
      </c>
      <c r="EB30" s="29"/>
      <c r="EC30" s="498" t="s">
        <v>1373</v>
      </c>
      <c r="ED30" s="462" t="s">
        <v>749</v>
      </c>
      <c r="EE30" s="963">
        <f t="shared" si="20"/>
        <v>2507.8509999999997</v>
      </c>
      <c r="EF30" s="109"/>
      <c r="EH30" s="66" t="s">
        <v>871</v>
      </c>
      <c r="EI30" s="65">
        <f t="shared" si="24"/>
        <v>199.51</v>
      </c>
      <c r="EK30" s="108"/>
      <c r="EL30" s="461" t="s">
        <v>1297</v>
      </c>
      <c r="EM30" s="551" t="s">
        <v>774</v>
      </c>
      <c r="EN30" s="551" t="s">
        <v>771</v>
      </c>
      <c r="EO30" s="552">
        <v>0.84</v>
      </c>
      <c r="EP30" s="553">
        <v>30</v>
      </c>
      <c r="EQ30" s="529" t="s">
        <v>788</v>
      </c>
      <c r="ER30" s="806">
        <f>VLOOKUP("TV GD MAG DIRETOR 04 30H",RHE,10,FALSE)</f>
        <v>418.97</v>
      </c>
      <c r="ES30" s="109"/>
      <c r="EU30" s="108"/>
      <c r="EV30" s="461" t="s">
        <v>196</v>
      </c>
      <c r="EW30" s="551" t="s">
        <v>774</v>
      </c>
      <c r="EX30" s="551" t="s">
        <v>684</v>
      </c>
      <c r="EY30" s="551">
        <v>1.1</v>
      </c>
      <c r="EZ30" s="553">
        <v>40</v>
      </c>
      <c r="FA30" s="806">
        <f>VLOOKUP("TV GD MAG ANEXO III 06 40H",RHE,10,FALSE)</f>
        <v>548.65</v>
      </c>
      <c r="FB30" s="109"/>
      <c r="FD30" s="86"/>
      <c r="FE30" s="87"/>
      <c r="FG30" s="108"/>
      <c r="FH30" s="1389"/>
      <c r="FI30" s="1332"/>
      <c r="FJ30" s="1388"/>
      <c r="FK30" s="109"/>
      <c r="FN30" s="108"/>
      <c r="FO30" s="29"/>
      <c r="FP30" s="869"/>
      <c r="FQ30" s="869"/>
      <c r="FR30" s="952" t="s">
        <v>298</v>
      </c>
      <c r="FS30" s="806">
        <f>ROUNDDOWN(FV28*0.35,2)</f>
        <v>610.6</v>
      </c>
      <c r="FT30" s="949"/>
      <c r="FU30" s="869"/>
      <c r="FV30" s="869"/>
      <c r="FW30" s="109"/>
    </row>
    <row r="31" spans="8:179" ht="12">
      <c r="H31" s="86"/>
      <c r="I31" s="87"/>
      <c r="K31" s="108"/>
      <c r="L31" s="30"/>
      <c r="M31" s="1286" t="s">
        <v>1</v>
      </c>
      <c r="N31" s="1287"/>
      <c r="O31" s="874">
        <f>PISO_MAG</f>
        <v>862.8</v>
      </c>
      <c r="P31" s="29"/>
      <c r="Q31" s="109"/>
      <c r="S31" s="86"/>
      <c r="T31" s="87"/>
      <c r="V31" s="108"/>
      <c r="W31" s="318"/>
      <c r="X31" s="30"/>
      <c r="Y31" s="29"/>
      <c r="Z31" s="318"/>
      <c r="AA31" s="30"/>
      <c r="AB31" s="109"/>
      <c r="AD31" s="66" t="s">
        <v>705</v>
      </c>
      <c r="AE31" s="65">
        <f t="shared" si="9"/>
        <v>4937.65</v>
      </c>
      <c r="AG31" s="108"/>
      <c r="AH31" s="30"/>
      <c r="AI31" s="463" t="s">
        <v>1314</v>
      </c>
      <c r="AJ31" s="462" t="s">
        <v>433</v>
      </c>
      <c r="AK31" s="809">
        <f>VLOOKUP("TV ESPECIAL DAE 02 40H",RHE,10,FALSE)</f>
        <v>5184.53</v>
      </c>
      <c r="AL31" s="806">
        <f>VLOOKUP("TV ESPECIAL DAE 02 40H",RHE,12,FALSE)</f>
        <v>0</v>
      </c>
      <c r="AM31" s="109"/>
      <c r="AO31" s="66" t="s">
        <v>879</v>
      </c>
      <c r="AP31" s="65">
        <f t="shared" si="0"/>
        <v>1041.78</v>
      </c>
      <c r="AR31" s="108"/>
      <c r="AS31" s="461" t="s">
        <v>1305</v>
      </c>
      <c r="AT31" s="462" t="s">
        <v>1151</v>
      </c>
      <c r="AU31" s="806">
        <f t="shared" si="17"/>
        <v>1041.78</v>
      </c>
      <c r="AV31" s="29"/>
      <c r="AW31" s="142" t="s">
        <v>1380</v>
      </c>
      <c r="AX31" s="53" t="s">
        <v>1183</v>
      </c>
      <c r="AY31" s="937">
        <v>2966.3</v>
      </c>
      <c r="AZ31" s="109" t="s">
        <v>1079</v>
      </c>
      <c r="BB31" s="70"/>
      <c r="BC31" s="498" t="s">
        <v>1305</v>
      </c>
      <c r="BD31" s="503" t="s">
        <v>410</v>
      </c>
      <c r="BE31" s="873">
        <f>VLOOKUP("TV COMISS DEFENS 23 40H",RHE,10,FALSE)</f>
        <v>2480.37</v>
      </c>
      <c r="BF31" s="71"/>
      <c r="BI31" s="108"/>
      <c r="BJ31" s="464" t="s">
        <v>1305</v>
      </c>
      <c r="BK31" s="465" t="s">
        <v>1151</v>
      </c>
      <c r="BL31" s="813">
        <f t="shared" si="1"/>
        <v>1041.78</v>
      </c>
      <c r="BM31" s="455"/>
      <c r="BN31" s="71"/>
      <c r="BP31" s="108"/>
      <c r="BQ31" s="145" t="s">
        <v>1305</v>
      </c>
      <c r="BR31" s="52" t="str">
        <f t="shared" si="4"/>
        <v>CC 11 - 30 h </v>
      </c>
      <c r="BS31" s="30" t="s">
        <v>1079</v>
      </c>
      <c r="BT31" s="29"/>
      <c r="BU31" s="29"/>
      <c r="BV31" s="29" t="s">
        <v>1247</v>
      </c>
      <c r="BW31" s="29" t="s">
        <v>1079</v>
      </c>
      <c r="BX31" s="109" t="s">
        <v>1079</v>
      </c>
      <c r="BZ31" s="66" t="s">
        <v>881</v>
      </c>
      <c r="CA31" s="65">
        <f t="shared" si="23"/>
        <v>879.23</v>
      </c>
      <c r="CB31" s="29"/>
      <c r="CC31" s="70"/>
      <c r="CK31" s="71"/>
      <c r="CL31" s="29"/>
      <c r="CM31" s="70"/>
      <c r="CN31" s="29"/>
      <c r="CO31" s="29"/>
      <c r="CP31" s="498" t="s">
        <v>197</v>
      </c>
      <c r="CQ31" s="898">
        <f t="shared" si="12"/>
        <v>841.23</v>
      </c>
      <c r="CR31" s="29"/>
      <c r="CS31" s="29"/>
      <c r="CT31" s="71"/>
      <c r="CU31" s="66" t="s">
        <v>828</v>
      </c>
      <c r="CV31" s="65">
        <f aca="true" t="shared" si="25" ref="CV31:CV36">DE13</f>
        <v>719.3</v>
      </c>
      <c r="CW31" s="425"/>
      <c r="CX31" s="423"/>
      <c r="CY31" s="532" t="s">
        <v>1299</v>
      </c>
      <c r="CZ31" s="533" t="s">
        <v>884</v>
      </c>
      <c r="DA31" s="893">
        <f t="shared" si="21"/>
        <v>1228.4</v>
      </c>
      <c r="DB31" s="425"/>
      <c r="DC31" s="532" t="s">
        <v>1317</v>
      </c>
      <c r="DD31" s="533" t="s">
        <v>52</v>
      </c>
      <c r="DE31" s="893">
        <f t="shared" si="22"/>
        <v>1535.5</v>
      </c>
      <c r="DF31" s="424"/>
      <c r="DG31" s="425"/>
      <c r="DH31" s="66" t="s">
        <v>879</v>
      </c>
      <c r="DI31" s="65">
        <f t="shared" si="2"/>
        <v>329.61</v>
      </c>
      <c r="DK31" s="108"/>
      <c r="DL31" s="461" t="s">
        <v>1305</v>
      </c>
      <c r="DM31" s="462" t="s">
        <v>948</v>
      </c>
      <c r="DN31" s="806">
        <f>VLOOKUP("TV COMISS PC/BM 12 40H",RHE,10,FALSE)</f>
        <v>329.61</v>
      </c>
      <c r="DO31" s="29"/>
      <c r="DP31" s="461" t="s">
        <v>1380</v>
      </c>
      <c r="DQ31" s="462" t="s">
        <v>988</v>
      </c>
      <c r="DR31" s="806">
        <f>VLOOKUP("TV COMISS TRIB CONT 16 40H",RHE,10,FALSE)</f>
        <v>1784.54</v>
      </c>
      <c r="DS31" s="109"/>
      <c r="DU31" s="66" t="s">
        <v>879</v>
      </c>
      <c r="DV31" s="65">
        <f t="shared" si="3"/>
        <v>160.77</v>
      </c>
      <c r="DX31" s="108"/>
      <c r="DY31" s="461" t="s">
        <v>1304</v>
      </c>
      <c r="DZ31" s="462" t="s">
        <v>1013</v>
      </c>
      <c r="EA31" s="806">
        <f>DN20</f>
        <v>708.97</v>
      </c>
      <c r="EB31" s="29"/>
      <c r="EC31" s="498" t="s">
        <v>1374</v>
      </c>
      <c r="ED31" s="462" t="s">
        <v>750</v>
      </c>
      <c r="EE31" s="963">
        <f t="shared" si="20"/>
        <v>2869.3879999999995</v>
      </c>
      <c r="EF31" s="109"/>
      <c r="EH31" s="66" t="s">
        <v>879</v>
      </c>
      <c r="EI31" s="65">
        <f t="shared" si="24"/>
        <v>269.34</v>
      </c>
      <c r="EK31" s="108"/>
      <c r="EL31" s="464" t="s">
        <v>1298</v>
      </c>
      <c r="EM31" s="539" t="s">
        <v>774</v>
      </c>
      <c r="EN31" s="539" t="s">
        <v>771</v>
      </c>
      <c r="EO31" s="554">
        <v>1.12</v>
      </c>
      <c r="EP31" s="555">
        <v>40</v>
      </c>
      <c r="EQ31" s="556" t="s">
        <v>788</v>
      </c>
      <c r="ER31" s="820">
        <f>VLOOKUP("TV GD MAG DIRETOR 04 40H",RHE,10,FALSE)</f>
        <v>558.63</v>
      </c>
      <c r="ES31" s="109"/>
      <c r="EU31" s="108"/>
      <c r="EV31" s="461" t="s">
        <v>197</v>
      </c>
      <c r="EW31" s="551" t="s">
        <v>774</v>
      </c>
      <c r="EX31" s="551" t="s">
        <v>695</v>
      </c>
      <c r="EY31" s="551">
        <v>0.6</v>
      </c>
      <c r="EZ31" s="499">
        <v>20</v>
      </c>
      <c r="FA31" s="806">
        <f>VLOOKUP("TV GD MAG ANEXO III 07 20H",RHE,10,FALSE)</f>
        <v>299.26</v>
      </c>
      <c r="FB31" s="109"/>
      <c r="FD31" s="86"/>
      <c r="FE31" s="87"/>
      <c r="FG31" s="108"/>
      <c r="FH31" s="1389"/>
      <c r="FI31" s="1332"/>
      <c r="FJ31" s="1388"/>
      <c r="FK31" s="109"/>
      <c r="FN31" s="70"/>
      <c r="FO31" s="29"/>
      <c r="FP31" s="869"/>
      <c r="FQ31" s="949"/>
      <c r="FR31" s="952" t="s">
        <v>226</v>
      </c>
      <c r="FS31" s="806">
        <f>ROUNDDOWN(FV28*0.4,2)</f>
        <v>697.83</v>
      </c>
      <c r="FT31" s="949"/>
      <c r="FU31" s="953"/>
      <c r="FV31" s="949"/>
      <c r="FW31" s="71"/>
    </row>
    <row r="32" spans="8:179" ht="12.75" customHeight="1">
      <c r="H32" s="86"/>
      <c r="I32" s="87"/>
      <c r="K32" s="108"/>
      <c r="L32" s="30"/>
      <c r="M32" s="30"/>
      <c r="N32" s="131"/>
      <c r="O32" s="29"/>
      <c r="P32" s="29"/>
      <c r="Q32" s="109"/>
      <c r="S32" s="86"/>
      <c r="T32" s="87"/>
      <c r="V32" s="108"/>
      <c r="W32" s="318"/>
      <c r="X32" s="30"/>
      <c r="Y32" s="29"/>
      <c r="Z32" s="318"/>
      <c r="AA32" s="30"/>
      <c r="AB32" s="109"/>
      <c r="AD32" s="66" t="s">
        <v>706</v>
      </c>
      <c r="AE32" s="65">
        <f t="shared" si="9"/>
        <v>5184.53</v>
      </c>
      <c r="AG32" s="108"/>
      <c r="AH32" s="30"/>
      <c r="AI32" s="463" t="s">
        <v>1315</v>
      </c>
      <c r="AJ32" s="462" t="s">
        <v>434</v>
      </c>
      <c r="AK32" s="809">
        <f>VLOOKUP("TV ESPECIAL DAE 03 40H",RHE,10,FALSE)</f>
        <v>5443.77</v>
      </c>
      <c r="AL32" s="806">
        <f>VLOOKUP("TV ESPECIAL DAE 03 40H",RHE,12,FALSE)</f>
        <v>0</v>
      </c>
      <c r="AM32" s="109"/>
      <c r="AO32" s="66" t="s">
        <v>880</v>
      </c>
      <c r="AP32" s="65">
        <f t="shared" si="0"/>
        <v>300.71</v>
      </c>
      <c r="AR32" s="108"/>
      <c r="AS32" s="461" t="s">
        <v>1306</v>
      </c>
      <c r="AT32" s="462" t="s">
        <v>458</v>
      </c>
      <c r="AU32" s="806">
        <f>VLOOKUP("TV COMISS PGE/DP 01 40H",RHE,10,FALSE)</f>
        <v>300.71</v>
      </c>
      <c r="AV32" s="29"/>
      <c r="AW32" s="142" t="s">
        <v>1381</v>
      </c>
      <c r="AX32" s="53" t="s">
        <v>1184</v>
      </c>
      <c r="AY32" s="937">
        <v>3230.39</v>
      </c>
      <c r="AZ32" s="109" t="s">
        <v>1079</v>
      </c>
      <c r="BB32" s="70"/>
      <c r="BC32" s="500" t="s">
        <v>1306</v>
      </c>
      <c r="BD32" s="502" t="s">
        <v>411</v>
      </c>
      <c r="BE32" s="874">
        <f>VLOOKUP("TV COMISS DEFENS 24 40H",RHE,10,FALSE)</f>
        <v>992.53</v>
      </c>
      <c r="BF32" s="71"/>
      <c r="BI32" s="108"/>
      <c r="BN32" s="71"/>
      <c r="BP32" s="108"/>
      <c r="BQ32" s="145" t="s">
        <v>1306</v>
      </c>
      <c r="BR32" s="52" t="str">
        <f>AT32</f>
        <v>CC PGE 01 </v>
      </c>
      <c r="BS32" s="30" t="e">
        <f>'01'!#REF!</f>
        <v>#REF!</v>
      </c>
      <c r="BT32" s="29"/>
      <c r="BU32" s="29"/>
      <c r="BV32" s="29" t="s">
        <v>1248</v>
      </c>
      <c r="BW32" s="29" t="s">
        <v>1079</v>
      </c>
      <c r="BX32" s="109" t="s">
        <v>1079</v>
      </c>
      <c r="BZ32" s="66" t="s">
        <v>1084</v>
      </c>
      <c r="CA32" s="65">
        <f t="shared" si="23"/>
        <v>1014.5</v>
      </c>
      <c r="CB32" s="29"/>
      <c r="CC32" s="70"/>
      <c r="CK32" s="71"/>
      <c r="CL32" s="29"/>
      <c r="CM32" s="70"/>
      <c r="CN32" s="29"/>
      <c r="CO32" s="29"/>
      <c r="CP32" s="500" t="s">
        <v>198</v>
      </c>
      <c r="CQ32" s="899">
        <f t="shared" si="12"/>
        <v>862.8</v>
      </c>
      <c r="CR32" s="29"/>
      <c r="CS32" s="29"/>
      <c r="CT32" s="71"/>
      <c r="CU32" s="66" t="s">
        <v>829</v>
      </c>
      <c r="CV32" s="65">
        <f t="shared" si="25"/>
        <v>827.2</v>
      </c>
      <c r="CW32" s="425"/>
      <c r="CX32" s="423"/>
      <c r="CY32" s="534" t="s">
        <v>1300</v>
      </c>
      <c r="CZ32" s="535" t="s">
        <v>885</v>
      </c>
      <c r="DA32" s="894">
        <f t="shared" si="21"/>
        <v>1328</v>
      </c>
      <c r="DB32" s="425"/>
      <c r="DC32" s="534" t="s">
        <v>1318</v>
      </c>
      <c r="DD32" s="535" t="s">
        <v>53</v>
      </c>
      <c r="DE32" s="894">
        <f t="shared" si="22"/>
        <v>1660</v>
      </c>
      <c r="DF32" s="424"/>
      <c r="DG32" s="425"/>
      <c r="DH32" s="66" t="s">
        <v>880</v>
      </c>
      <c r="DI32" s="65">
        <f t="shared" si="2"/>
        <v>351.55</v>
      </c>
      <c r="DK32" s="108"/>
      <c r="DL32" s="493" t="s">
        <v>1306</v>
      </c>
      <c r="DM32" s="484" t="s">
        <v>949</v>
      </c>
      <c r="DN32" s="818">
        <f>VLOOKUP("TV COMISS PC/BM 14 40H",RHE,10,FALSE)</f>
        <v>351.55</v>
      </c>
      <c r="DO32" s="29"/>
      <c r="DP32" s="461" t="s">
        <v>1381</v>
      </c>
      <c r="DQ32" s="462" t="s">
        <v>984</v>
      </c>
      <c r="DR32" s="806">
        <f>VLOOKUP("TV COMISS TRIB CONT 18 40H",RHE,10,FALSE)</f>
        <v>1871.25</v>
      </c>
      <c r="DS32" s="109"/>
      <c r="DU32" s="66" t="s">
        <v>880</v>
      </c>
      <c r="DV32" s="65">
        <f t="shared" si="3"/>
        <v>192.48699999999997</v>
      </c>
      <c r="DX32" s="108"/>
      <c r="DY32" s="461" t="s">
        <v>1305</v>
      </c>
      <c r="DZ32" s="462" t="s">
        <v>1014</v>
      </c>
      <c r="EA32" s="963">
        <f aca="true" t="shared" si="26" ref="EA32:EA39">EA10*2.3</f>
        <v>160.77</v>
      </c>
      <c r="EB32" s="29"/>
      <c r="EC32" s="498" t="s">
        <v>1375</v>
      </c>
      <c r="ED32" s="462" t="s">
        <v>751</v>
      </c>
      <c r="EE32" s="963">
        <f t="shared" si="20"/>
        <v>3194.7919999999995</v>
      </c>
      <c r="EF32" s="109"/>
      <c r="EH32" s="66" t="s">
        <v>880</v>
      </c>
      <c r="EI32" s="65">
        <f t="shared" si="24"/>
        <v>159.6</v>
      </c>
      <c r="EK32" s="108"/>
      <c r="ER32" s="832"/>
      <c r="ES32" s="109"/>
      <c r="EU32" s="108"/>
      <c r="EV32" s="461" t="s">
        <v>198</v>
      </c>
      <c r="EW32" s="551" t="s">
        <v>774</v>
      </c>
      <c r="EX32" s="551" t="s">
        <v>695</v>
      </c>
      <c r="EY32" s="551">
        <v>0.9</v>
      </c>
      <c r="EZ32" s="499">
        <v>30</v>
      </c>
      <c r="FA32" s="806">
        <f>VLOOKUP("TV GD MAG ANEXO III 07 30H",RHE,10,FALSE)</f>
        <v>448.9</v>
      </c>
      <c r="FB32" s="109"/>
      <c r="FD32" s="86"/>
      <c r="FE32" s="87"/>
      <c r="FG32" s="108"/>
      <c r="FH32" s="1389"/>
      <c r="FI32" s="1332"/>
      <c r="FJ32" s="1388"/>
      <c r="FK32" s="109"/>
      <c r="FN32" s="108"/>
      <c r="FO32" s="29"/>
      <c r="FP32" s="869"/>
      <c r="FQ32" s="869"/>
      <c r="FR32" s="952" t="s">
        <v>712</v>
      </c>
      <c r="FS32" s="806">
        <f>ROUNDDOWN(FV28*0.5,2)</f>
        <v>872.29</v>
      </c>
      <c r="FT32" s="949"/>
      <c r="FU32" s="949"/>
      <c r="FV32" s="869"/>
      <c r="FW32" s="109"/>
    </row>
    <row r="33" spans="8:179" ht="12.75" customHeight="1">
      <c r="H33" s="86"/>
      <c r="I33" s="87"/>
      <c r="K33" s="108"/>
      <c r="L33" s="30"/>
      <c r="M33" s="30"/>
      <c r="N33" s="131"/>
      <c r="O33" s="29"/>
      <c r="P33" s="29"/>
      <c r="Q33" s="109"/>
      <c r="S33" s="86"/>
      <c r="T33" s="87"/>
      <c r="V33" s="108"/>
      <c r="W33" s="318"/>
      <c r="X33" s="30"/>
      <c r="Y33" s="29"/>
      <c r="Z33" s="318"/>
      <c r="AA33" s="30"/>
      <c r="AB33" s="109"/>
      <c r="AD33" s="66" t="s">
        <v>707</v>
      </c>
      <c r="AE33" s="65">
        <f t="shared" si="9"/>
        <v>5443.77</v>
      </c>
      <c r="AG33" s="108"/>
      <c r="AH33" s="30"/>
      <c r="AI33" s="545" t="s">
        <v>1316</v>
      </c>
      <c r="AJ33" s="515" t="s">
        <v>435</v>
      </c>
      <c r="AK33" s="813">
        <f>VLOOKUP("TV ESPECIAL DAE 04 40H",RHE,10,FALSE)</f>
        <v>5715.95</v>
      </c>
      <c r="AL33" s="820">
        <f>VLOOKUP("TV ESPECIAL DAE 04 40H",RHE,12,FALSE)</f>
        <v>0</v>
      </c>
      <c r="AM33" s="109"/>
      <c r="AO33" s="66" t="s">
        <v>804</v>
      </c>
      <c r="AP33" s="65">
        <f t="shared" si="0"/>
        <v>349.39</v>
      </c>
      <c r="AR33" s="108"/>
      <c r="AS33" s="461" t="s">
        <v>1307</v>
      </c>
      <c r="AT33" s="462" t="s">
        <v>459</v>
      </c>
      <c r="AU33" s="806">
        <f>VLOOKUP("TV COMISS PGE/DP 03 40H",RHE,10,FALSE)</f>
        <v>349.39</v>
      </c>
      <c r="AV33" s="29"/>
      <c r="AW33" s="142" t="s">
        <v>1382</v>
      </c>
      <c r="AX33" s="53" t="s">
        <v>1185</v>
      </c>
      <c r="AY33" s="937">
        <v>4302.19</v>
      </c>
      <c r="AZ33" s="109" t="s">
        <v>1079</v>
      </c>
      <c r="BB33" s="70"/>
      <c r="BF33" s="71"/>
      <c r="BI33" s="108"/>
      <c r="BN33" s="71"/>
      <c r="BP33" s="108"/>
      <c r="BQ33" s="145" t="s">
        <v>1307</v>
      </c>
      <c r="BR33" s="52" t="str">
        <f t="shared" si="4"/>
        <v>CC PGE 02 </v>
      </c>
      <c r="BS33" s="30" t="e">
        <f>'01'!#REF!</f>
        <v>#REF!</v>
      </c>
      <c r="BT33" s="29"/>
      <c r="BU33" s="29"/>
      <c r="BV33" s="29" t="s">
        <v>1249</v>
      </c>
      <c r="BW33" s="29" t="s">
        <v>1079</v>
      </c>
      <c r="BX33" s="109" t="s">
        <v>1079</v>
      </c>
      <c r="BZ33" s="66" t="s">
        <v>1085</v>
      </c>
      <c r="CA33" s="65">
        <f t="shared" si="23"/>
        <v>1251.22</v>
      </c>
      <c r="CB33" s="29"/>
      <c r="CC33" s="70"/>
      <c r="CD33" s="1345" t="s">
        <v>1340</v>
      </c>
      <c r="CE33" s="1346"/>
      <c r="CF33" s="895">
        <f>VLOOKUP("TV MAGIST PL CARR 01 20H",RHE,12,FALSE)</f>
        <v>0</v>
      </c>
      <c r="CH33" s="1288" t="s">
        <v>685</v>
      </c>
      <c r="CI33" s="1391"/>
      <c r="CJ33" s="1289"/>
      <c r="CK33" s="71"/>
      <c r="CL33" s="29"/>
      <c r="CM33" s="70"/>
      <c r="CN33" s="111"/>
      <c r="CO33" s="111"/>
      <c r="CP33" s="111"/>
      <c r="CQ33" s="211"/>
      <c r="CR33" s="55"/>
      <c r="CS33" s="55"/>
      <c r="CT33" s="71"/>
      <c r="CU33" s="66" t="s">
        <v>881</v>
      </c>
      <c r="CV33" s="65">
        <f t="shared" si="25"/>
        <v>935.1</v>
      </c>
      <c r="CW33" s="425"/>
      <c r="CX33" s="423"/>
      <c r="CY33" s="409"/>
      <c r="CZ33" s="409"/>
      <c r="DA33" s="409"/>
      <c r="DB33" s="409"/>
      <c r="DC33" s="409"/>
      <c r="DD33" s="409"/>
      <c r="DE33" s="409"/>
      <c r="DF33" s="424"/>
      <c r="DG33" s="425"/>
      <c r="DH33" s="66" t="s">
        <v>804</v>
      </c>
      <c r="DI33" s="65">
        <f t="shared" si="2"/>
        <v>97.36</v>
      </c>
      <c r="DK33" s="108"/>
      <c r="DL33" s="497" t="s">
        <v>1307</v>
      </c>
      <c r="DM33" s="489" t="s">
        <v>1095</v>
      </c>
      <c r="DN33" s="819">
        <f>VLOOKUP("TV COMISS PGE/DP 02 40H",RHE,10,FALSE)</f>
        <v>97.36</v>
      </c>
      <c r="DO33" s="29"/>
      <c r="DP33" s="461" t="s">
        <v>1382</v>
      </c>
      <c r="DQ33" s="462" t="s">
        <v>985</v>
      </c>
      <c r="DR33" s="806">
        <f>VLOOKUP("TV COMISS TRIB CONT 20 40H",RHE,10,FALSE)</f>
        <v>2244.95</v>
      </c>
      <c r="DS33" s="109"/>
      <c r="DU33" s="66" t="s">
        <v>804</v>
      </c>
      <c r="DV33" s="65">
        <f t="shared" si="3"/>
        <v>246.813</v>
      </c>
      <c r="DX33" s="108"/>
      <c r="DY33" s="461" t="s">
        <v>1306</v>
      </c>
      <c r="DZ33" s="462" t="s">
        <v>1015</v>
      </c>
      <c r="EA33" s="963">
        <f t="shared" si="26"/>
        <v>192.48699999999997</v>
      </c>
      <c r="EB33" s="29"/>
      <c r="EC33" s="498" t="s">
        <v>1376</v>
      </c>
      <c r="ED33" s="462" t="s">
        <v>752</v>
      </c>
      <c r="EE33" s="963">
        <f t="shared" si="20"/>
        <v>4075.324</v>
      </c>
      <c r="EF33" s="109"/>
      <c r="EH33" s="66" t="s">
        <v>804</v>
      </c>
      <c r="EI33" s="65">
        <f t="shared" si="24"/>
        <v>239.41</v>
      </c>
      <c r="EK33" s="108"/>
      <c r="EL33" s="459" t="s">
        <v>1299</v>
      </c>
      <c r="EM33" s="537" t="s">
        <v>775</v>
      </c>
      <c r="EN33" s="537" t="s">
        <v>772</v>
      </c>
      <c r="EO33" s="549">
        <v>0.54</v>
      </c>
      <c r="EP33" s="550">
        <v>20</v>
      </c>
      <c r="EQ33" s="542" t="s">
        <v>796</v>
      </c>
      <c r="ER33" s="805">
        <f>VLOOKUP("TV GD MAG VICE 05 20H",RHE,10,FALSE)</f>
        <v>269.34</v>
      </c>
      <c r="ES33" s="109"/>
      <c r="EU33" s="108"/>
      <c r="EV33" s="461" t="s">
        <v>1264</v>
      </c>
      <c r="EW33" s="551" t="s">
        <v>774</v>
      </c>
      <c r="EX33" s="551" t="s">
        <v>695</v>
      </c>
      <c r="EY33" s="551">
        <v>1.21</v>
      </c>
      <c r="EZ33" s="553">
        <v>40</v>
      </c>
      <c r="FA33" s="806">
        <f>VLOOKUP("TV GD MAG ANEXO III 07 40H",RHE,10,FALSE)</f>
        <v>603.52</v>
      </c>
      <c r="FB33" s="109"/>
      <c r="FD33" s="86"/>
      <c r="FE33" s="87"/>
      <c r="FG33" s="108"/>
      <c r="FH33" s="1389"/>
      <c r="FI33" s="1332"/>
      <c r="FJ33" s="1388"/>
      <c r="FK33" s="109"/>
      <c r="FN33" s="108"/>
      <c r="FO33" s="29"/>
      <c r="FP33" s="869"/>
      <c r="FQ33" s="869"/>
      <c r="FR33" s="954" t="s">
        <v>878</v>
      </c>
      <c r="FS33" s="820">
        <f>ROUNDDOWN(FV28*0.75,2)</f>
        <v>1308.44</v>
      </c>
      <c r="FT33" s="949"/>
      <c r="FU33" s="869"/>
      <c r="FV33" s="869"/>
      <c r="FW33" s="109"/>
    </row>
    <row r="34" spans="8:179" ht="13.5" customHeight="1">
      <c r="H34" s="86"/>
      <c r="I34" s="87"/>
      <c r="K34" s="108"/>
      <c r="L34" s="30"/>
      <c r="M34" s="30"/>
      <c r="N34" s="131"/>
      <c r="O34" s="29"/>
      <c r="P34" s="29"/>
      <c r="Q34" s="109"/>
      <c r="S34" s="86"/>
      <c r="T34" s="87"/>
      <c r="V34" s="108"/>
      <c r="W34" s="318"/>
      <c r="X34" s="30"/>
      <c r="Y34" s="29"/>
      <c r="Z34" s="318"/>
      <c r="AA34" s="30"/>
      <c r="AB34" s="109"/>
      <c r="AD34" s="66" t="s">
        <v>92</v>
      </c>
      <c r="AE34" s="65">
        <f t="shared" si="9"/>
        <v>5715.95</v>
      </c>
      <c r="AG34" s="108"/>
      <c r="AH34" s="30"/>
      <c r="AI34" s="511" t="s">
        <v>201</v>
      </c>
      <c r="AJ34" s="510" t="s">
        <v>1227</v>
      </c>
      <c r="AK34" s="810">
        <f>VLOOKUP("TV TEC PLANEJAM 01 40H",RHE,10,FALSE)</f>
        <v>3636.95</v>
      </c>
      <c r="AL34" s="807">
        <f>VLOOKUP("TV TEC PLANEJAM 01 40H",RHE,12,FALSE)</f>
        <v>0</v>
      </c>
      <c r="AM34" s="109"/>
      <c r="AO34" s="66" t="s">
        <v>805</v>
      </c>
      <c r="AP34" s="65">
        <f t="shared" si="0"/>
        <v>432.24</v>
      </c>
      <c r="AR34" s="108"/>
      <c r="AS34" s="461" t="s">
        <v>1308</v>
      </c>
      <c r="AT34" s="462" t="s">
        <v>460</v>
      </c>
      <c r="AU34" s="806">
        <f>VLOOKUP("TV COMISS PGE/DP 05 40H",RHE,10,FALSE)</f>
        <v>432.24</v>
      </c>
      <c r="AV34" s="29"/>
      <c r="AW34" s="142" t="s">
        <v>1383</v>
      </c>
      <c r="AX34" s="53" t="s">
        <v>1186</v>
      </c>
      <c r="AY34" s="937">
        <v>4571.4</v>
      </c>
      <c r="AZ34" s="109" t="s">
        <v>1079</v>
      </c>
      <c r="BB34" s="70"/>
      <c r="BC34" s="29"/>
      <c r="BD34" s="131"/>
      <c r="BE34" s="29"/>
      <c r="BF34" s="71"/>
      <c r="BI34" s="108"/>
      <c r="BJ34" s="29"/>
      <c r="BK34" s="29"/>
      <c r="BL34" s="29"/>
      <c r="BM34" s="29"/>
      <c r="BN34" s="71"/>
      <c r="BP34" s="108"/>
      <c r="BQ34" s="145" t="s">
        <v>1308</v>
      </c>
      <c r="BR34" s="52" t="str">
        <f t="shared" si="4"/>
        <v>CC PGE 03</v>
      </c>
      <c r="BS34" s="30" t="e">
        <f>'01'!#REF!</f>
        <v>#REF!</v>
      </c>
      <c r="BT34" s="29"/>
      <c r="BU34" s="29"/>
      <c r="BV34" s="29" t="s">
        <v>1250</v>
      </c>
      <c r="BW34" s="29" t="s">
        <v>1079</v>
      </c>
      <c r="BX34" s="109" t="s">
        <v>1079</v>
      </c>
      <c r="BZ34" s="66" t="s">
        <v>830</v>
      </c>
      <c r="CA34" s="65">
        <f t="shared" si="23"/>
        <v>1352.67</v>
      </c>
      <c r="CB34" s="29"/>
      <c r="CC34" s="70"/>
      <c r="CH34" s="1284" t="s">
        <v>3</v>
      </c>
      <c r="CI34" s="1285"/>
      <c r="CJ34" s="872">
        <f>ROUNDDOWN(PISO_MAG*0.5,2)</f>
        <v>431.4</v>
      </c>
      <c r="CK34" s="71"/>
      <c r="CL34" s="29"/>
      <c r="CM34" s="70"/>
      <c r="CN34" s="29"/>
      <c r="CO34" s="29"/>
      <c r="CP34" s="29"/>
      <c r="CQ34" s="29"/>
      <c r="CR34" s="112"/>
      <c r="CS34" s="29"/>
      <c r="CT34" s="71"/>
      <c r="CU34" s="66" t="s">
        <v>1084</v>
      </c>
      <c r="CV34" s="65">
        <f t="shared" si="25"/>
        <v>1079</v>
      </c>
      <c r="CW34" s="425"/>
      <c r="CX34" s="423"/>
      <c r="CY34" s="409"/>
      <c r="CZ34" s="409"/>
      <c r="DA34" s="409"/>
      <c r="DB34" s="409"/>
      <c r="DC34" s="409"/>
      <c r="DD34" s="409"/>
      <c r="DE34" s="409"/>
      <c r="DF34" s="424"/>
      <c r="DG34" s="425"/>
      <c r="DH34" s="66" t="s">
        <v>805</v>
      </c>
      <c r="DI34" s="65">
        <f t="shared" si="2"/>
        <v>117.02</v>
      </c>
      <c r="DK34" s="108"/>
      <c r="DL34" s="461" t="s">
        <v>1308</v>
      </c>
      <c r="DM34" s="462" t="s">
        <v>1096</v>
      </c>
      <c r="DN34" s="806">
        <f>VLOOKUP("TV COMISS PGE/DP 04 40H",RHE,10,FALSE)</f>
        <v>117.02</v>
      </c>
      <c r="DO34" s="29"/>
      <c r="DP34" s="461" t="s">
        <v>1383</v>
      </c>
      <c r="DQ34" s="462" t="s">
        <v>986</v>
      </c>
      <c r="DR34" s="806">
        <f>VLOOKUP("TV COMISS TRIB CONT 22 40H",RHE,10,FALSE)</f>
        <v>2536.02</v>
      </c>
      <c r="DS34" s="109"/>
      <c r="DU34" s="66" t="s">
        <v>805</v>
      </c>
      <c r="DV34" s="65">
        <f t="shared" si="3"/>
        <v>301.139</v>
      </c>
      <c r="DX34" s="108"/>
      <c r="DY34" s="461" t="s">
        <v>1307</v>
      </c>
      <c r="DZ34" s="462" t="s">
        <v>1016</v>
      </c>
      <c r="EA34" s="963">
        <f t="shared" si="26"/>
        <v>246.813</v>
      </c>
      <c r="EB34" s="29"/>
      <c r="EC34" s="498" t="s">
        <v>1377</v>
      </c>
      <c r="ED34" s="462" t="s">
        <v>753</v>
      </c>
      <c r="EE34" s="806">
        <f>AU32</f>
        <v>300.71</v>
      </c>
      <c r="EF34" s="109"/>
      <c r="EH34" s="66" t="s">
        <v>805</v>
      </c>
      <c r="EI34" s="65">
        <f t="shared" si="24"/>
        <v>324.2</v>
      </c>
      <c r="EK34" s="108"/>
      <c r="EL34" s="461" t="s">
        <v>1300</v>
      </c>
      <c r="EM34" s="551" t="s">
        <v>775</v>
      </c>
      <c r="EN34" s="551" t="s">
        <v>772</v>
      </c>
      <c r="EO34" s="552">
        <v>0.54</v>
      </c>
      <c r="EP34" s="553">
        <v>40</v>
      </c>
      <c r="EQ34" s="529" t="s">
        <v>797</v>
      </c>
      <c r="ER34" s="806">
        <f>VLOOKUP("TV GD MAG VICE 05 40H",RHE,10,FALSE)</f>
        <v>538.68</v>
      </c>
      <c r="ES34" s="109"/>
      <c r="EU34" s="108"/>
      <c r="EV34" s="461" t="s">
        <v>199</v>
      </c>
      <c r="EW34" s="551" t="s">
        <v>774</v>
      </c>
      <c r="EX34" s="551" t="s">
        <v>521</v>
      </c>
      <c r="EY34" s="551">
        <v>0.67</v>
      </c>
      <c r="EZ34" s="499">
        <v>20</v>
      </c>
      <c r="FA34" s="806">
        <f>VLOOKUP("TV GD MAG ANEXO III 08 20H",RHE,10,FALSE)</f>
        <v>334.18</v>
      </c>
      <c r="FB34" s="109"/>
      <c r="FD34" s="86"/>
      <c r="FE34" s="87"/>
      <c r="FG34" s="108"/>
      <c r="FH34" s="1389"/>
      <c r="FI34" s="1332"/>
      <c r="FJ34" s="1388"/>
      <c r="FK34" s="109"/>
      <c r="FN34" s="108"/>
      <c r="FO34" s="29"/>
      <c r="FP34" s="869"/>
      <c r="FQ34" s="869"/>
      <c r="FR34" s="955"/>
      <c r="FS34" s="869"/>
      <c r="FT34" s="869"/>
      <c r="FU34" s="869"/>
      <c r="FV34" s="869"/>
      <c r="FW34" s="109"/>
    </row>
    <row r="35" spans="1:179" ht="12.75" customHeight="1">
      <c r="A35" s="77"/>
      <c r="B35" s="77"/>
      <c r="C35" s="77"/>
      <c r="D35" s="77"/>
      <c r="E35" s="77"/>
      <c r="H35" s="86"/>
      <c r="I35" s="87"/>
      <c r="K35" s="108"/>
      <c r="L35" s="30"/>
      <c r="M35" s="30"/>
      <c r="O35" s="136"/>
      <c r="P35" s="29"/>
      <c r="Q35" s="109"/>
      <c r="S35" s="86"/>
      <c r="T35" s="87"/>
      <c r="V35" s="108"/>
      <c r="W35" s="318"/>
      <c r="X35" s="30"/>
      <c r="Y35" s="29"/>
      <c r="Z35" s="318"/>
      <c r="AA35" s="30"/>
      <c r="AB35" s="109"/>
      <c r="AD35" s="66" t="s">
        <v>814</v>
      </c>
      <c r="AE35" s="65">
        <f t="shared" si="9"/>
        <v>3636.95</v>
      </c>
      <c r="AG35" s="108"/>
      <c r="AH35" s="30"/>
      <c r="AI35" s="461" t="s">
        <v>202</v>
      </c>
      <c r="AJ35" s="462" t="s">
        <v>1228</v>
      </c>
      <c r="AK35" s="809">
        <f>VLOOKUP("TV TEC PLANEJAM 02 40H",RHE,10,FALSE)</f>
        <v>3770.43</v>
      </c>
      <c r="AL35" s="806">
        <f>VLOOKUP("TV TEC PLANEJAM 01 40H",RHE,12,FALSE)</f>
        <v>0</v>
      </c>
      <c r="AM35" s="109"/>
      <c r="AO35" s="66" t="s">
        <v>806</v>
      </c>
      <c r="AP35" s="65">
        <f t="shared" si="0"/>
        <v>514.85</v>
      </c>
      <c r="AR35" s="108"/>
      <c r="AS35" s="461" t="s">
        <v>1309</v>
      </c>
      <c r="AT35" s="462" t="s">
        <v>461</v>
      </c>
      <c r="AU35" s="806">
        <f>VLOOKUP("TV COMISS PGE/DP 07 40H",RHE,10,FALSE)</f>
        <v>514.85</v>
      </c>
      <c r="AV35" s="29"/>
      <c r="AW35" s="142" t="s">
        <v>1384</v>
      </c>
      <c r="AX35" s="53" t="s">
        <v>46</v>
      </c>
      <c r="AY35" s="806">
        <f>VLOOKUP("TV COMISS TRIB JUST 01 40H",RHE,10,FALSE)</f>
        <v>13809.09</v>
      </c>
      <c r="AZ35" s="109" t="s">
        <v>1079</v>
      </c>
      <c r="BB35" s="74"/>
      <c r="BC35" s="113"/>
      <c r="BD35" s="180"/>
      <c r="BE35" s="113"/>
      <c r="BF35" s="75"/>
      <c r="BI35" s="108"/>
      <c r="BJ35" s="1184" t="s">
        <v>1203</v>
      </c>
      <c r="BK35" s="1185"/>
      <c r="BL35" s="1185"/>
      <c r="BM35" s="1186"/>
      <c r="BN35" s="71"/>
      <c r="BP35" s="108"/>
      <c r="BQ35" s="145" t="s">
        <v>1309</v>
      </c>
      <c r="BR35" s="52" t="str">
        <f t="shared" si="4"/>
        <v>CC PGE 04 </v>
      </c>
      <c r="BS35" s="30" t="e">
        <f>'01'!#REF!</f>
        <v>#REF!</v>
      </c>
      <c r="BT35" s="29"/>
      <c r="BU35" s="29"/>
      <c r="BV35" s="29" t="s">
        <v>1251</v>
      </c>
      <c r="BW35" s="29" t="s">
        <v>1079</v>
      </c>
      <c r="BX35" s="109" t="s">
        <v>1079</v>
      </c>
      <c r="BZ35" s="66" t="s">
        <v>831</v>
      </c>
      <c r="CA35" s="65">
        <f aca="true" t="shared" si="27" ref="CA35:CA40">CJ18</f>
        <v>728.36</v>
      </c>
      <c r="CB35" s="29"/>
      <c r="CC35" s="70"/>
      <c r="CH35" s="1303" t="s">
        <v>2</v>
      </c>
      <c r="CI35" s="1304"/>
      <c r="CJ35" s="873">
        <f>ROUNDDOWN(PISO_MAG*0.75,2)</f>
        <v>647.1</v>
      </c>
      <c r="CK35" s="71"/>
      <c r="CM35" s="74"/>
      <c r="CN35" s="113"/>
      <c r="CO35" s="113"/>
      <c r="CP35" s="113"/>
      <c r="CQ35" s="113"/>
      <c r="CR35" s="113"/>
      <c r="CS35" s="113"/>
      <c r="CT35" s="75"/>
      <c r="CU35" s="66" t="s">
        <v>1085</v>
      </c>
      <c r="CV35" s="65">
        <f t="shared" si="25"/>
        <v>1330.8</v>
      </c>
      <c r="CW35" s="425"/>
      <c r="CX35" s="423"/>
      <c r="CY35" s="1312" t="s">
        <v>1340</v>
      </c>
      <c r="CZ35" s="1313"/>
      <c r="DA35" s="926">
        <f>PARCAUT_MAG</f>
        <v>0</v>
      </c>
      <c r="DB35" s="409"/>
      <c r="DC35" s="1298" t="s">
        <v>904</v>
      </c>
      <c r="DD35" s="1299"/>
      <c r="DE35" s="1300"/>
      <c r="DF35" s="424"/>
      <c r="DG35" s="425"/>
      <c r="DH35" s="66" t="s">
        <v>806</v>
      </c>
      <c r="DI35" s="65">
        <f t="shared" si="2"/>
        <v>150.11</v>
      </c>
      <c r="DK35" s="108"/>
      <c r="DL35" s="461" t="s">
        <v>1309</v>
      </c>
      <c r="DM35" s="462" t="s">
        <v>468</v>
      </c>
      <c r="DN35" s="806">
        <f>VLOOKUP("TV COMISS PGE/DP 06 40H",RHE,10,FALSE)</f>
        <v>150.11</v>
      </c>
      <c r="DO35" s="29"/>
      <c r="DP35" s="514" t="s">
        <v>1384</v>
      </c>
      <c r="DQ35" s="515" t="s">
        <v>987</v>
      </c>
      <c r="DR35" s="946">
        <v>1924.7</v>
      </c>
      <c r="DS35" s="109"/>
      <c r="DU35" s="66" t="s">
        <v>806</v>
      </c>
      <c r="DV35" s="65">
        <f t="shared" si="3"/>
        <v>356.84499999999997</v>
      </c>
      <c r="DX35" s="108"/>
      <c r="DY35" s="461" t="s">
        <v>1308</v>
      </c>
      <c r="DZ35" s="462" t="s">
        <v>1017</v>
      </c>
      <c r="EA35" s="963">
        <f t="shared" si="26"/>
        <v>301.139</v>
      </c>
      <c r="EB35" s="29"/>
      <c r="EC35" s="498" t="s">
        <v>1378</v>
      </c>
      <c r="ED35" s="462" t="s">
        <v>754</v>
      </c>
      <c r="EE35" s="806">
        <f aca="true" t="shared" si="28" ref="EE35:EE45">AU33</f>
        <v>349.39</v>
      </c>
      <c r="EF35" s="109"/>
      <c r="EH35" s="66" t="s">
        <v>806</v>
      </c>
      <c r="EI35" s="65">
        <f t="shared" si="24"/>
        <v>189.53</v>
      </c>
      <c r="EK35" s="108"/>
      <c r="EL35" s="461" t="s">
        <v>1301</v>
      </c>
      <c r="EM35" s="551" t="s">
        <v>774</v>
      </c>
      <c r="EN35" s="551" t="s">
        <v>772</v>
      </c>
      <c r="EO35" s="552">
        <v>1</v>
      </c>
      <c r="EP35" s="553">
        <v>30</v>
      </c>
      <c r="EQ35" s="529" t="s">
        <v>798</v>
      </c>
      <c r="ER35" s="806">
        <f>VLOOKUP("TV GD MAG DIRETOR 05 30H",RHE,10,FALSE)</f>
        <v>498.78</v>
      </c>
      <c r="ES35" s="109"/>
      <c r="EU35" s="108"/>
      <c r="EV35" s="461" t="s">
        <v>200</v>
      </c>
      <c r="EW35" s="551" t="s">
        <v>774</v>
      </c>
      <c r="EX35" s="551" t="s">
        <v>521</v>
      </c>
      <c r="EY35" s="551">
        <v>1</v>
      </c>
      <c r="EZ35" s="499">
        <v>30</v>
      </c>
      <c r="FA35" s="806">
        <f>VLOOKUP("TV GD MAG ANEXO III 08 30H",RHE,10,FALSE)</f>
        <v>498.78</v>
      </c>
      <c r="FB35" s="109"/>
      <c r="FD35" s="86"/>
      <c r="FE35" s="87"/>
      <c r="FG35" s="108"/>
      <c r="FH35" s="131"/>
      <c r="FI35" s="29"/>
      <c r="FJ35" s="29"/>
      <c r="FK35" s="109"/>
      <c r="FN35" s="108"/>
      <c r="FO35" s="29"/>
      <c r="FP35" s="869"/>
      <c r="FQ35" s="832"/>
      <c r="FR35" s="859"/>
      <c r="FS35" s="832"/>
      <c r="FT35" s="832"/>
      <c r="FU35" s="869"/>
      <c r="FV35" s="869"/>
      <c r="FW35" s="109"/>
    </row>
    <row r="36" spans="1:179" ht="12.75" customHeight="1">
      <c r="A36" s="77"/>
      <c r="B36" s="77"/>
      <c r="C36" s="77"/>
      <c r="D36" s="77"/>
      <c r="E36" s="77"/>
      <c r="H36" s="86"/>
      <c r="I36" s="87"/>
      <c r="K36" s="108"/>
      <c r="L36" s="30"/>
      <c r="M36" s="30"/>
      <c r="N36" s="131"/>
      <c r="O36" s="29"/>
      <c r="P36" s="29"/>
      <c r="Q36" s="109"/>
      <c r="S36" s="86"/>
      <c r="T36" s="87"/>
      <c r="V36" s="108"/>
      <c r="W36" s="318"/>
      <c r="X36" s="30"/>
      <c r="Y36" s="29"/>
      <c r="Z36" s="29"/>
      <c r="AA36" s="29"/>
      <c r="AB36" s="109"/>
      <c r="AD36" s="66" t="s">
        <v>815</v>
      </c>
      <c r="AE36" s="65">
        <f t="shared" si="9"/>
        <v>3770.43</v>
      </c>
      <c r="AG36" s="108"/>
      <c r="AH36" s="30"/>
      <c r="AI36" s="461" t="s">
        <v>203</v>
      </c>
      <c r="AJ36" s="462" t="s">
        <v>1229</v>
      </c>
      <c r="AK36" s="809">
        <f>VLOOKUP("TV TEC PLANEJAM 03 40H",RHE,10,FALSE)</f>
        <v>4029</v>
      </c>
      <c r="AL36" s="806">
        <f>VLOOKUP("TV TEC PLANEJAM 01 40H",RHE,12,FALSE)</f>
        <v>0</v>
      </c>
      <c r="AM36" s="109"/>
      <c r="AO36" s="66" t="s">
        <v>807</v>
      </c>
      <c r="AP36" s="65">
        <f t="shared" si="0"/>
        <v>599.74</v>
      </c>
      <c r="AR36" s="108"/>
      <c r="AS36" s="461" t="s">
        <v>1310</v>
      </c>
      <c r="AT36" s="462" t="s">
        <v>462</v>
      </c>
      <c r="AU36" s="806">
        <f>VLOOKUP("TV COMISS PGE/DP 09 40H",RHE,10,FALSE)</f>
        <v>599.74</v>
      </c>
      <c r="AV36" s="29"/>
      <c r="AW36" s="142" t="s">
        <v>1385</v>
      </c>
      <c r="AX36" s="53" t="s">
        <v>1187</v>
      </c>
      <c r="AY36" s="937">
        <v>408.1</v>
      </c>
      <c r="AZ36" s="109" t="s">
        <v>1079</v>
      </c>
      <c r="BA36" s="29"/>
      <c r="BB36" s="29"/>
      <c r="BC36" s="29"/>
      <c r="BD36" s="131"/>
      <c r="BE36" s="29"/>
      <c r="BF36" s="29"/>
      <c r="BI36" s="108"/>
      <c r="BJ36" s="335" t="s">
        <v>897</v>
      </c>
      <c r="BK36" s="29"/>
      <c r="BL36" s="29"/>
      <c r="BM36" s="71"/>
      <c r="BN36" s="71"/>
      <c r="BP36" s="108"/>
      <c r="BQ36" s="145" t="s">
        <v>1310</v>
      </c>
      <c r="BR36" s="52" t="str">
        <f t="shared" si="4"/>
        <v>CC PGE 05</v>
      </c>
      <c r="BS36" s="30" t="e">
        <f>'01'!#REF!</f>
        <v>#REF!</v>
      </c>
      <c r="BT36" s="29"/>
      <c r="BU36" s="29"/>
      <c r="BV36" s="29" t="s">
        <v>1252</v>
      </c>
      <c r="BW36" s="29" t="s">
        <v>1079</v>
      </c>
      <c r="BX36" s="109" t="s">
        <v>1079</v>
      </c>
      <c r="BZ36" s="66" t="s">
        <v>832</v>
      </c>
      <c r="CA36" s="65">
        <f t="shared" si="27"/>
        <v>837.61</v>
      </c>
      <c r="CB36" s="29"/>
      <c r="CC36" s="70"/>
      <c r="CD36" s="1184" t="s">
        <v>898</v>
      </c>
      <c r="CE36" s="1185"/>
      <c r="CF36" s="1186"/>
      <c r="CG36" s="29"/>
      <c r="CH36" s="1286" t="s">
        <v>1</v>
      </c>
      <c r="CI36" s="1287"/>
      <c r="CJ36" s="896">
        <v>862.8</v>
      </c>
      <c r="CK36" s="71"/>
      <c r="CM36" s="29"/>
      <c r="CN36" s="111"/>
      <c r="CO36" s="111"/>
      <c r="CP36" s="111"/>
      <c r="CQ36" s="111"/>
      <c r="CR36" s="112"/>
      <c r="CS36" s="29"/>
      <c r="CT36" s="29"/>
      <c r="CU36" s="66" t="s">
        <v>830</v>
      </c>
      <c r="CV36" s="65">
        <f t="shared" si="25"/>
        <v>1438.7</v>
      </c>
      <c r="CW36" s="425"/>
      <c r="CX36" s="423"/>
      <c r="CY36" s="409"/>
      <c r="CZ36" s="409"/>
      <c r="DA36" s="409"/>
      <c r="DB36" s="409"/>
      <c r="DC36" s="546" t="s">
        <v>3</v>
      </c>
      <c r="DD36" s="531"/>
      <c r="DE36" s="892">
        <f>ROUNDDOWN(DA$13*0.5,2)</f>
        <v>276.65</v>
      </c>
      <c r="DF36" s="424"/>
      <c r="DG36" s="425"/>
      <c r="DH36" s="66" t="s">
        <v>807</v>
      </c>
      <c r="DI36" s="65">
        <f t="shared" si="2"/>
        <v>183.09</v>
      </c>
      <c r="DK36" s="108"/>
      <c r="DL36" s="461" t="s">
        <v>1310</v>
      </c>
      <c r="DM36" s="462" t="s">
        <v>1097</v>
      </c>
      <c r="DN36" s="806">
        <f>VLOOKUP("TV COMISS PGE/DP 08 40H",RHE,10,FALSE)</f>
        <v>183.09</v>
      </c>
      <c r="DO36" s="29"/>
      <c r="DP36" s="512" t="s">
        <v>1385</v>
      </c>
      <c r="DQ36" s="513" t="s">
        <v>910</v>
      </c>
      <c r="DR36" s="806">
        <f>VLOOKUP("TV COMISS TRIB JUST 11 40H",RHE,10,FALSE)</f>
        <v>218.55</v>
      </c>
      <c r="DS36" s="109"/>
      <c r="DU36" s="66" t="s">
        <v>807</v>
      </c>
      <c r="DV36" s="65">
        <f t="shared" si="3"/>
        <v>411.171</v>
      </c>
      <c r="DX36" s="108"/>
      <c r="DY36" s="461" t="s">
        <v>1309</v>
      </c>
      <c r="DZ36" s="462" t="s">
        <v>1018</v>
      </c>
      <c r="EA36" s="963">
        <f t="shared" si="26"/>
        <v>356.84499999999997</v>
      </c>
      <c r="EB36" s="29"/>
      <c r="EC36" s="498" t="s">
        <v>1379</v>
      </c>
      <c r="ED36" s="462" t="s">
        <v>757</v>
      </c>
      <c r="EE36" s="806">
        <f t="shared" si="28"/>
        <v>432.24</v>
      </c>
      <c r="EF36" s="109"/>
      <c r="EH36" s="66" t="s">
        <v>807</v>
      </c>
      <c r="EI36" s="65">
        <f t="shared" si="24"/>
        <v>284.3</v>
      </c>
      <c r="EK36" s="108"/>
      <c r="EL36" s="464" t="s">
        <v>1302</v>
      </c>
      <c r="EM36" s="539" t="s">
        <v>774</v>
      </c>
      <c r="EN36" s="539" t="s">
        <v>772</v>
      </c>
      <c r="EO36" s="554">
        <v>1.33</v>
      </c>
      <c r="EP36" s="555">
        <v>40</v>
      </c>
      <c r="EQ36" s="556" t="s">
        <v>789</v>
      </c>
      <c r="ER36" s="820">
        <f>VLOOKUP("TV GD MAG DIRETOR 05 40H",RHE,10,FALSE)</f>
        <v>663.37</v>
      </c>
      <c r="ES36" s="109"/>
      <c r="EU36" s="108"/>
      <c r="EV36" s="464" t="s">
        <v>201</v>
      </c>
      <c r="EW36" s="539" t="s">
        <v>774</v>
      </c>
      <c r="EX36" s="539" t="s">
        <v>521</v>
      </c>
      <c r="EY36" s="539">
        <v>1.33</v>
      </c>
      <c r="EZ36" s="555">
        <v>40</v>
      </c>
      <c r="FA36" s="820">
        <f>VLOOKUP("TV GD MAG ANEXO III 08 40H",RHE,10,FALSE)</f>
        <v>663.37</v>
      </c>
      <c r="FB36" s="109"/>
      <c r="FD36" s="86"/>
      <c r="FE36" s="87"/>
      <c r="FG36" s="108"/>
      <c r="FH36" s="131"/>
      <c r="FI36" s="29"/>
      <c r="FJ36" s="29"/>
      <c r="FK36" s="109"/>
      <c r="FN36" s="108"/>
      <c r="FO36" s="536" t="s">
        <v>1043</v>
      </c>
      <c r="FP36" s="805">
        <f>ROUNDDOWN(DR17*1.6,2)</f>
        <v>889.18</v>
      </c>
      <c r="FQ36" s="949"/>
      <c r="FR36" s="948" t="s">
        <v>1076</v>
      </c>
      <c r="FS36" s="805">
        <f>ROUNDDOWN(FV36*0.2,2)</f>
        <v>567</v>
      </c>
      <c r="FT36" s="949"/>
      <c r="FU36" s="950" t="s">
        <v>723</v>
      </c>
      <c r="FV36" s="951">
        <f>ROUNDDOWN(AU47*1.6,2)</f>
        <v>2835</v>
      </c>
      <c r="FW36" s="109"/>
    </row>
    <row r="37" spans="1:179" ht="12">
      <c r="A37" s="77"/>
      <c r="B37" s="77"/>
      <c r="C37" s="77"/>
      <c r="D37" s="77"/>
      <c r="E37" s="77"/>
      <c r="H37" s="86"/>
      <c r="I37" s="87"/>
      <c r="K37" s="108"/>
      <c r="L37" s="30"/>
      <c r="M37" s="30"/>
      <c r="N37" s="131"/>
      <c r="O37" s="29"/>
      <c r="P37" s="29"/>
      <c r="Q37" s="109"/>
      <c r="S37" s="86"/>
      <c r="T37" s="87"/>
      <c r="V37" s="108"/>
      <c r="W37" s="318"/>
      <c r="X37" s="30"/>
      <c r="Y37" s="29"/>
      <c r="Z37" s="318"/>
      <c r="AA37" s="30"/>
      <c r="AB37" s="109"/>
      <c r="AD37" s="66" t="s">
        <v>816</v>
      </c>
      <c r="AE37" s="65">
        <f t="shared" si="9"/>
        <v>4029</v>
      </c>
      <c r="AG37" s="108"/>
      <c r="AH37" s="30"/>
      <c r="AI37" s="464" t="s">
        <v>204</v>
      </c>
      <c r="AJ37" s="465" t="s">
        <v>1230</v>
      </c>
      <c r="AK37" s="813">
        <f>VLOOKUP("TV TEC PLANEJAM 04 40H",RHE,10,FALSE)</f>
        <v>4162.75</v>
      </c>
      <c r="AL37" s="820">
        <f>VLOOKUP("TV TEC PLANEJAM 01 40H",RHE,12,FALSE)</f>
        <v>0</v>
      </c>
      <c r="AM37" s="109"/>
      <c r="AO37" s="66" t="s">
        <v>808</v>
      </c>
      <c r="AP37" s="65">
        <f t="shared" si="0"/>
        <v>682.47</v>
      </c>
      <c r="AR37" s="108"/>
      <c r="AS37" s="461" t="s">
        <v>1311</v>
      </c>
      <c r="AT37" s="462" t="s">
        <v>463</v>
      </c>
      <c r="AU37" s="806">
        <f>VLOOKUP("TV COMISS PGE/DP 11 40H",RHE,10,FALSE)</f>
        <v>682.47</v>
      </c>
      <c r="AV37" s="29"/>
      <c r="AW37" s="142" t="s">
        <v>1386</v>
      </c>
      <c r="AX37" s="53" t="s">
        <v>1194</v>
      </c>
      <c r="AY37" s="937">
        <v>744.45</v>
      </c>
      <c r="AZ37" s="109"/>
      <c r="BA37" s="29"/>
      <c r="BB37" s="29"/>
      <c r="BC37" s="29"/>
      <c r="BD37" s="131"/>
      <c r="BE37" s="29"/>
      <c r="BF37" s="29"/>
      <c r="BI37" s="108"/>
      <c r="BJ37" s="150" t="s">
        <v>894</v>
      </c>
      <c r="BK37" s="29"/>
      <c r="BL37" s="29"/>
      <c r="BM37" s="71"/>
      <c r="BN37" s="71"/>
      <c r="BP37" s="108"/>
      <c r="BQ37" s="145" t="s">
        <v>1311</v>
      </c>
      <c r="BR37" s="52" t="str">
        <f t="shared" si="4"/>
        <v>CC PGE 06</v>
      </c>
      <c r="BS37" s="30" t="e">
        <f>'01'!#REF!</f>
        <v>#REF!</v>
      </c>
      <c r="BT37" s="29"/>
      <c r="BU37" s="29"/>
      <c r="BV37" s="29" t="s">
        <v>1279</v>
      </c>
      <c r="BW37" s="29" t="s">
        <v>1079</v>
      </c>
      <c r="BX37" s="109"/>
      <c r="BZ37" s="66" t="s">
        <v>149</v>
      </c>
      <c r="CA37" s="65">
        <f t="shared" si="27"/>
        <v>946.87</v>
      </c>
      <c r="CB37" s="29"/>
      <c r="CC37" s="70"/>
      <c r="CD37" s="29"/>
      <c r="CE37" s="29"/>
      <c r="CF37" s="29"/>
      <c r="CG37" s="29"/>
      <c r="CK37" s="71"/>
      <c r="CL37" s="29"/>
      <c r="CM37" s="29"/>
      <c r="CN37" s="29"/>
      <c r="CO37" s="29"/>
      <c r="CP37" s="29"/>
      <c r="CQ37" s="29"/>
      <c r="CR37" s="29"/>
      <c r="CS37" s="29"/>
      <c r="CT37" s="29"/>
      <c r="CU37" s="66" t="s">
        <v>831</v>
      </c>
      <c r="CV37" s="65">
        <f aca="true" t="shared" si="29" ref="CV37:CV42">DE20</f>
        <v>774.7</v>
      </c>
      <c r="CW37" s="409"/>
      <c r="CX37" s="423"/>
      <c r="CY37" s="409"/>
      <c r="CZ37" s="409"/>
      <c r="DA37" s="409"/>
      <c r="DB37" s="409"/>
      <c r="DC37" s="547" t="s">
        <v>1</v>
      </c>
      <c r="DD37" s="535"/>
      <c r="DE37" s="894">
        <f>DA$13</f>
        <v>553.3</v>
      </c>
      <c r="DF37" s="424"/>
      <c r="DG37" s="425"/>
      <c r="DH37" s="66" t="s">
        <v>808</v>
      </c>
      <c r="DI37" s="65">
        <f t="shared" si="2"/>
        <v>217.02</v>
      </c>
      <c r="DK37" s="108"/>
      <c r="DL37" s="461" t="s">
        <v>1311</v>
      </c>
      <c r="DM37" s="462" t="s">
        <v>469</v>
      </c>
      <c r="DN37" s="806">
        <f>VLOOKUP("TV COMISS PGE/DP 10 40H",RHE,10,FALSE)</f>
        <v>217.02</v>
      </c>
      <c r="DO37" s="29"/>
      <c r="DP37" s="497" t="s">
        <v>1386</v>
      </c>
      <c r="DQ37" s="489" t="s">
        <v>527</v>
      </c>
      <c r="DR37" s="819">
        <f>VLOOKUP("TV COMISS ESP SARH 17 30H",RHE,10,FALSE)</f>
        <v>120.7</v>
      </c>
      <c r="DS37" s="109"/>
      <c r="DU37" s="66" t="s">
        <v>808</v>
      </c>
      <c r="DV37" s="65">
        <f t="shared" si="3"/>
        <v>465.77299999999997</v>
      </c>
      <c r="DX37" s="108"/>
      <c r="DY37" s="461" t="s">
        <v>1310</v>
      </c>
      <c r="DZ37" s="462" t="s">
        <v>1019</v>
      </c>
      <c r="EA37" s="963">
        <f t="shared" si="26"/>
        <v>411.171</v>
      </c>
      <c r="EB37" s="29"/>
      <c r="EC37" s="498" t="s">
        <v>1380</v>
      </c>
      <c r="ED37" s="462" t="s">
        <v>760</v>
      </c>
      <c r="EE37" s="806">
        <f t="shared" si="28"/>
        <v>514.85</v>
      </c>
      <c r="EF37" s="109"/>
      <c r="EH37" s="66" t="s">
        <v>808</v>
      </c>
      <c r="EI37" s="65">
        <f t="shared" si="24"/>
        <v>379.07</v>
      </c>
      <c r="EK37" s="108"/>
      <c r="ES37" s="109"/>
      <c r="EU37" s="108"/>
      <c r="FB37" s="109"/>
      <c r="FD37" s="86"/>
      <c r="FE37" s="87"/>
      <c r="FG37" s="108"/>
      <c r="FH37" s="131"/>
      <c r="FI37" s="29"/>
      <c r="FJ37" s="29"/>
      <c r="FK37" s="109"/>
      <c r="FN37" s="108"/>
      <c r="FO37" s="538" t="s">
        <v>724</v>
      </c>
      <c r="FP37" s="820">
        <f>ROUNDDOWN(DR18*1.6,2)</f>
        <v>1134.35</v>
      </c>
      <c r="FQ37" s="869"/>
      <c r="FR37" s="952" t="s">
        <v>57</v>
      </c>
      <c r="FS37" s="806">
        <f>ROUNDDOWN(FV36*0.3,2)</f>
        <v>850.5</v>
      </c>
      <c r="FT37" s="949"/>
      <c r="FU37" s="869"/>
      <c r="FV37" s="869"/>
      <c r="FW37" s="109"/>
    </row>
    <row r="38" spans="1:179" ht="12.75" thickBot="1">
      <c r="A38" s="77"/>
      <c r="B38" s="77"/>
      <c r="C38" s="77"/>
      <c r="D38" s="77"/>
      <c r="E38" s="77"/>
      <c r="F38" s="77"/>
      <c r="H38" s="86"/>
      <c r="I38" s="87"/>
      <c r="K38" s="108"/>
      <c r="L38" s="30"/>
      <c r="M38" s="30"/>
      <c r="N38" s="131"/>
      <c r="O38" s="29"/>
      <c r="P38" s="29"/>
      <c r="Q38" s="109"/>
      <c r="S38" s="86"/>
      <c r="T38" s="87"/>
      <c r="V38" s="108"/>
      <c r="W38" s="318"/>
      <c r="X38" s="30"/>
      <c r="Y38" s="29"/>
      <c r="Z38" s="318"/>
      <c r="AA38" s="30"/>
      <c r="AB38" s="109"/>
      <c r="AD38" s="67" t="s">
        <v>817</v>
      </c>
      <c r="AE38" s="83">
        <f t="shared" si="9"/>
        <v>4162.75</v>
      </c>
      <c r="AG38" s="108"/>
      <c r="AH38" s="30"/>
      <c r="AM38" s="109"/>
      <c r="AO38" s="66" t="s">
        <v>809</v>
      </c>
      <c r="AP38" s="65">
        <f t="shared" si="0"/>
        <v>764.84</v>
      </c>
      <c r="AR38" s="108"/>
      <c r="AS38" s="461" t="s">
        <v>1312</v>
      </c>
      <c r="AT38" s="462" t="s">
        <v>1277</v>
      </c>
      <c r="AU38" s="806">
        <f>VLOOKUP("TV COMISS PGE/DP 13 40H",RHE,10,FALSE)</f>
        <v>764.84</v>
      </c>
      <c r="AV38" s="29"/>
      <c r="AW38" s="142" t="s">
        <v>1387</v>
      </c>
      <c r="AX38" s="53" t="s">
        <v>1195</v>
      </c>
      <c r="AY38" s="937">
        <v>871.85</v>
      </c>
      <c r="AZ38" s="109"/>
      <c r="BA38" s="29"/>
      <c r="BB38" s="29"/>
      <c r="BC38" s="151"/>
      <c r="BD38" s="131"/>
      <c r="BE38" s="111"/>
      <c r="BF38" s="29"/>
      <c r="BI38" s="108"/>
      <c r="BJ38" s="150" t="s">
        <v>895</v>
      </c>
      <c r="BK38" s="29"/>
      <c r="BL38" s="111"/>
      <c r="BM38" s="336"/>
      <c r="BN38" s="71"/>
      <c r="BP38" s="108"/>
      <c r="BQ38" s="145" t="s">
        <v>1312</v>
      </c>
      <c r="BR38" s="52" t="str">
        <f t="shared" si="4"/>
        <v>CC PGE  07</v>
      </c>
      <c r="BS38" s="30" t="e">
        <f>'01'!#REF!</f>
        <v>#REF!</v>
      </c>
      <c r="BT38" s="29"/>
      <c r="BU38" s="29"/>
      <c r="BV38" s="29" t="s">
        <v>1280</v>
      </c>
      <c r="BW38" s="29" t="s">
        <v>1079</v>
      </c>
      <c r="BX38" s="109"/>
      <c r="BZ38" s="66" t="s">
        <v>1086</v>
      </c>
      <c r="CA38" s="65">
        <f t="shared" si="27"/>
        <v>1092.54</v>
      </c>
      <c r="CB38" s="29"/>
      <c r="CC38" s="70"/>
      <c r="CD38" s="480" t="s">
        <v>899</v>
      </c>
      <c r="CE38" s="528" t="s">
        <v>3</v>
      </c>
      <c r="CF38" s="872">
        <f>ROUNDDOWN(A1_MAG*0.2,2)</f>
        <v>104.05</v>
      </c>
      <c r="CG38" s="29"/>
      <c r="CK38" s="71"/>
      <c r="CL38" s="29"/>
      <c r="CM38" s="29"/>
      <c r="CN38" s="318"/>
      <c r="CO38" s="318"/>
      <c r="CP38" s="131"/>
      <c r="CQ38" s="29"/>
      <c r="CR38" s="29"/>
      <c r="CS38" s="29"/>
      <c r="CT38" s="29"/>
      <c r="CU38" s="66" t="s">
        <v>832</v>
      </c>
      <c r="CV38" s="65">
        <f t="shared" si="29"/>
        <v>890.9</v>
      </c>
      <c r="CW38" s="409"/>
      <c r="CX38" s="423"/>
      <c r="CY38" s="1298" t="s">
        <v>898</v>
      </c>
      <c r="CZ38" s="1299"/>
      <c r="DA38" s="1300"/>
      <c r="DB38" s="425"/>
      <c r="DC38" s="425"/>
      <c r="DD38" s="425"/>
      <c r="DE38" s="425"/>
      <c r="DF38" s="424"/>
      <c r="DG38" s="425"/>
      <c r="DH38" s="66" t="s">
        <v>809</v>
      </c>
      <c r="DI38" s="65">
        <f t="shared" si="2"/>
        <v>250.11</v>
      </c>
      <c r="DK38" s="108"/>
      <c r="DL38" s="461" t="s">
        <v>1312</v>
      </c>
      <c r="DM38" s="462" t="s">
        <v>470</v>
      </c>
      <c r="DN38" s="806">
        <f>VLOOKUP("TV COMISS PGE/DP 12 40H",RHE,10,FALSE)</f>
        <v>250.11</v>
      </c>
      <c r="DO38" s="29"/>
      <c r="DP38" s="514" t="s">
        <v>1387</v>
      </c>
      <c r="DQ38" s="515" t="s">
        <v>527</v>
      </c>
      <c r="DR38" s="807">
        <f>VLOOKUP("TV COMISS ESP SARH 18 30H",RHE,10,FALSE)</f>
        <v>135.1</v>
      </c>
      <c r="DS38" s="109"/>
      <c r="DU38" s="66" t="s">
        <v>809</v>
      </c>
      <c r="DV38" s="65">
        <f t="shared" si="3"/>
        <v>729.698</v>
      </c>
      <c r="DX38" s="108"/>
      <c r="DY38" s="461" t="s">
        <v>1311</v>
      </c>
      <c r="DZ38" s="462" t="s">
        <v>1020</v>
      </c>
      <c r="EA38" s="963">
        <f t="shared" si="26"/>
        <v>465.77299999999997</v>
      </c>
      <c r="EB38" s="29"/>
      <c r="EC38" s="498" t="s">
        <v>1381</v>
      </c>
      <c r="ED38" s="462" t="s">
        <v>761</v>
      </c>
      <c r="EE38" s="806">
        <f t="shared" si="28"/>
        <v>599.74</v>
      </c>
      <c r="EF38" s="109"/>
      <c r="EH38" s="66" t="s">
        <v>809</v>
      </c>
      <c r="EI38" s="65">
        <f t="shared" si="24"/>
        <v>219.46</v>
      </c>
      <c r="EK38" s="108"/>
      <c r="ES38" s="109"/>
      <c r="EU38" s="108"/>
      <c r="EV38" s="111"/>
      <c r="EW38" s="111"/>
      <c r="EX38" s="111"/>
      <c r="EY38" s="111"/>
      <c r="EZ38" s="111"/>
      <c r="FA38" s="211"/>
      <c r="FB38" s="71"/>
      <c r="FD38" s="86"/>
      <c r="FE38" s="87"/>
      <c r="FG38" s="108"/>
      <c r="FH38" s="131"/>
      <c r="FI38" s="29"/>
      <c r="FJ38" s="29"/>
      <c r="FK38" s="109"/>
      <c r="FN38" s="108"/>
      <c r="FO38" s="29"/>
      <c r="FP38" s="869"/>
      <c r="FQ38" s="949"/>
      <c r="FR38" s="952" t="s">
        <v>712</v>
      </c>
      <c r="FS38" s="806">
        <f>ROUNDDOWN(FV36*0.5,2)</f>
        <v>1417.5</v>
      </c>
      <c r="FT38" s="949"/>
      <c r="FU38" s="953" t="s">
        <v>1079</v>
      </c>
      <c r="FV38" s="949" t="s">
        <v>1079</v>
      </c>
      <c r="FW38" s="109"/>
    </row>
    <row r="39" spans="1:179" ht="12.75" customHeight="1">
      <c r="A39" s="77"/>
      <c r="B39" s="77"/>
      <c r="C39" s="77"/>
      <c r="D39" s="77"/>
      <c r="E39" s="77"/>
      <c r="F39" s="77"/>
      <c r="H39" s="86"/>
      <c r="I39" s="87"/>
      <c r="K39" s="108"/>
      <c r="L39" s="30"/>
      <c r="M39" s="30"/>
      <c r="N39" s="131"/>
      <c r="O39" s="29"/>
      <c r="P39" s="29"/>
      <c r="Q39" s="109"/>
      <c r="S39" s="86"/>
      <c r="T39" s="87"/>
      <c r="V39" s="108"/>
      <c r="W39" s="318"/>
      <c r="X39" s="30"/>
      <c r="Y39" s="29"/>
      <c r="Z39" s="318"/>
      <c r="AA39" s="30"/>
      <c r="AB39" s="109"/>
      <c r="AG39" s="108"/>
      <c r="AH39" s="30"/>
      <c r="AJ39" s="29"/>
      <c r="AK39" s="29"/>
      <c r="AL39" s="29"/>
      <c r="AM39" s="109"/>
      <c r="AO39" s="66" t="s">
        <v>705</v>
      </c>
      <c r="AP39" s="65">
        <f t="shared" si="0"/>
        <v>1166.87</v>
      </c>
      <c r="AR39" s="108"/>
      <c r="AS39" s="461" t="s">
        <v>1313</v>
      </c>
      <c r="AT39" s="462" t="s">
        <v>464</v>
      </c>
      <c r="AU39" s="806">
        <f>VLOOKUP("TV COMISS PGE/DP 15 40H",RHE,10,FALSE)</f>
        <v>1166.87</v>
      </c>
      <c r="AV39" s="29"/>
      <c r="AW39" s="142" t="s">
        <v>1388</v>
      </c>
      <c r="AX39" s="53" t="s">
        <v>1196</v>
      </c>
      <c r="AY39" s="937">
        <v>1019.24</v>
      </c>
      <c r="AZ39" s="109"/>
      <c r="BA39" s="29"/>
      <c r="BB39" s="29"/>
      <c r="BC39" s="151"/>
      <c r="BD39" s="131"/>
      <c r="BE39" s="151"/>
      <c r="BF39" s="29"/>
      <c r="BI39" s="108"/>
      <c r="BJ39" s="153" t="s">
        <v>896</v>
      </c>
      <c r="BK39" s="113"/>
      <c r="BL39" s="154"/>
      <c r="BM39" s="155"/>
      <c r="BN39" s="71"/>
      <c r="BP39" s="108"/>
      <c r="BQ39" s="145" t="s">
        <v>1313</v>
      </c>
      <c r="BR39" s="52" t="str">
        <f t="shared" si="4"/>
        <v>CC PGE 08</v>
      </c>
      <c r="BS39" s="30" t="e">
        <f>'01'!#REF!</f>
        <v>#REF!</v>
      </c>
      <c r="BT39" s="29"/>
      <c r="BU39" s="29"/>
      <c r="BV39" s="29" t="s">
        <v>1253</v>
      </c>
      <c r="BW39" s="29" t="s">
        <v>1079</v>
      </c>
      <c r="BX39" s="109"/>
      <c r="BZ39" s="66" t="s">
        <v>1087</v>
      </c>
      <c r="CA39" s="65">
        <f t="shared" si="27"/>
        <v>1347.47</v>
      </c>
      <c r="CB39" s="29"/>
      <c r="CC39" s="70"/>
      <c r="CD39" s="458"/>
      <c r="CE39" s="503" t="s">
        <v>2</v>
      </c>
      <c r="CF39" s="873">
        <f>ROUNDDOWN(A1_MAG*0.3,2)</f>
        <v>156.07</v>
      </c>
      <c r="CG39" s="29"/>
      <c r="CH39" s="1184" t="s">
        <v>904</v>
      </c>
      <c r="CI39" s="1185"/>
      <c r="CJ39" s="1186"/>
      <c r="CK39" s="71"/>
      <c r="CL39" s="29"/>
      <c r="CM39" s="29"/>
      <c r="CN39" s="131"/>
      <c r="CO39" s="131"/>
      <c r="CP39" s="131"/>
      <c r="CQ39" s="29"/>
      <c r="CR39" s="111"/>
      <c r="CS39" s="111"/>
      <c r="CT39" s="29"/>
      <c r="CU39" s="66" t="s">
        <v>149</v>
      </c>
      <c r="CV39" s="65">
        <f t="shared" si="29"/>
        <v>1007.1</v>
      </c>
      <c r="CW39" s="425"/>
      <c r="CX39" s="423"/>
      <c r="CY39" s="425"/>
      <c r="CZ39" s="425"/>
      <c r="DA39" s="425"/>
      <c r="DB39" s="425"/>
      <c r="DC39" s="409"/>
      <c r="DD39" s="409"/>
      <c r="DE39" s="409"/>
      <c r="DF39" s="424"/>
      <c r="DG39" s="425"/>
      <c r="DH39" s="66" t="s">
        <v>705</v>
      </c>
      <c r="DI39" s="65">
        <f t="shared" si="2"/>
        <v>283.2</v>
      </c>
      <c r="DK39" s="108"/>
      <c r="DL39" s="461" t="s">
        <v>1313</v>
      </c>
      <c r="DM39" s="462" t="s">
        <v>971</v>
      </c>
      <c r="DN39" s="806">
        <f>VLOOKUP("TV COMISS PGE/DP 14 40H",RHE,10,FALSE)</f>
        <v>283.2</v>
      </c>
      <c r="DO39" s="29"/>
      <c r="DP39" s="497" t="s">
        <v>1388</v>
      </c>
      <c r="DQ39" s="489" t="s">
        <v>991</v>
      </c>
      <c r="DR39" s="807">
        <f>VLOOKUP("TV COMISS JUST MIL 04 40H",RHE,10,FALSE)</f>
        <v>979.33</v>
      </c>
      <c r="DS39" s="109"/>
      <c r="DU39" s="66" t="s">
        <v>705</v>
      </c>
      <c r="DV39" s="65">
        <f t="shared" si="3"/>
        <v>2918.792</v>
      </c>
      <c r="DX39" s="108"/>
      <c r="DY39" s="461" t="s">
        <v>1312</v>
      </c>
      <c r="DZ39" s="462" t="s">
        <v>1021</v>
      </c>
      <c r="EA39" s="963">
        <f t="shared" si="26"/>
        <v>729.698</v>
      </c>
      <c r="EB39" s="29"/>
      <c r="EC39" s="498" t="s">
        <v>1382</v>
      </c>
      <c r="ED39" s="462" t="s">
        <v>762</v>
      </c>
      <c r="EE39" s="806">
        <f t="shared" si="28"/>
        <v>682.47</v>
      </c>
      <c r="EF39" s="109"/>
      <c r="EH39" s="66" t="s">
        <v>705</v>
      </c>
      <c r="EI39" s="65">
        <f t="shared" si="24"/>
        <v>329.19</v>
      </c>
      <c r="EK39" s="108"/>
      <c r="EL39" s="111"/>
      <c r="EM39" s="111"/>
      <c r="EN39" s="111"/>
      <c r="EO39" s="111"/>
      <c r="EP39" s="111"/>
      <c r="EQ39" s="111"/>
      <c r="ER39" s="211"/>
      <c r="ES39" s="109"/>
      <c r="EU39" s="108"/>
      <c r="FB39" s="109"/>
      <c r="FD39" s="86"/>
      <c r="FE39" s="87"/>
      <c r="FG39" s="108"/>
      <c r="FH39" s="131"/>
      <c r="FI39" s="29"/>
      <c r="FJ39" s="29"/>
      <c r="FK39" s="109"/>
      <c r="FN39" s="108"/>
      <c r="FO39" s="29"/>
      <c r="FP39" s="869"/>
      <c r="FQ39" s="869"/>
      <c r="FR39" s="954" t="s">
        <v>878</v>
      </c>
      <c r="FS39" s="820">
        <f>ROUNDDOWN(FV36*0.75,2)</f>
        <v>2126.25</v>
      </c>
      <c r="FT39" s="949"/>
      <c r="FU39" s="869"/>
      <c r="FV39" s="869"/>
      <c r="FW39" s="109"/>
    </row>
    <row r="40" spans="1:179" ht="12.75" customHeight="1">
      <c r="A40" s="77"/>
      <c r="B40" s="77"/>
      <c r="C40" s="77"/>
      <c r="D40" s="77"/>
      <c r="E40" s="77"/>
      <c r="F40" s="77"/>
      <c r="H40" s="86"/>
      <c r="I40" s="87"/>
      <c r="K40" s="108"/>
      <c r="L40" s="30"/>
      <c r="M40" s="30"/>
      <c r="N40" s="131"/>
      <c r="O40" s="29"/>
      <c r="P40" s="29"/>
      <c r="Q40" s="109"/>
      <c r="S40" s="86"/>
      <c r="T40" s="87"/>
      <c r="V40" s="108"/>
      <c r="W40" s="318"/>
      <c r="X40" s="30"/>
      <c r="Y40" s="29"/>
      <c r="Z40" s="29"/>
      <c r="AA40" s="29"/>
      <c r="AB40" s="109"/>
      <c r="AD40" s="86"/>
      <c r="AE40" s="87"/>
      <c r="AG40" s="108"/>
      <c r="AH40" s="1288" t="s">
        <v>547</v>
      </c>
      <c r="AI40" s="1289"/>
      <c r="AJ40" s="31" t="s">
        <v>1231</v>
      </c>
      <c r="AK40" s="29"/>
      <c r="AL40" s="29"/>
      <c r="AM40" s="109"/>
      <c r="AO40" s="66" t="s">
        <v>706</v>
      </c>
      <c r="AP40" s="65">
        <f t="shared" si="0"/>
        <v>1526.45</v>
      </c>
      <c r="AR40" s="108"/>
      <c r="AS40" s="461" t="s">
        <v>1314</v>
      </c>
      <c r="AT40" s="462" t="s">
        <v>465</v>
      </c>
      <c r="AU40" s="806">
        <f>VLOOKUP("TV COMISS PGE/DP 17 40H",RHE,10,FALSE)</f>
        <v>1526.45</v>
      </c>
      <c r="AV40" s="29"/>
      <c r="AW40" s="142" t="s">
        <v>1265</v>
      </c>
      <c r="AX40" s="53" t="s">
        <v>1197</v>
      </c>
      <c r="AY40" s="937">
        <v>1191.63</v>
      </c>
      <c r="AZ40" s="109"/>
      <c r="BA40" s="29"/>
      <c r="BB40" s="29"/>
      <c r="BC40" s="29"/>
      <c r="BD40" s="131"/>
      <c r="BE40" s="151"/>
      <c r="BF40" s="29"/>
      <c r="BI40" s="108"/>
      <c r="BJ40" s="29"/>
      <c r="BK40" s="29"/>
      <c r="BL40" s="151"/>
      <c r="BM40" s="151"/>
      <c r="BN40" s="71"/>
      <c r="BP40" s="108"/>
      <c r="BQ40" s="145" t="s">
        <v>1314</v>
      </c>
      <c r="BR40" s="52" t="str">
        <f t="shared" si="4"/>
        <v>CC PGE 09</v>
      </c>
      <c r="BS40" s="30" t="s">
        <v>1079</v>
      </c>
      <c r="BT40" s="29"/>
      <c r="BU40" s="29"/>
      <c r="BV40" s="29" t="s">
        <v>1254</v>
      </c>
      <c r="BW40" s="29" t="s">
        <v>1079</v>
      </c>
      <c r="BX40" s="109"/>
      <c r="BZ40" s="66" t="s">
        <v>225</v>
      </c>
      <c r="CA40" s="65">
        <f t="shared" si="27"/>
        <v>1456.72</v>
      </c>
      <c r="CB40" s="29"/>
      <c r="CC40" s="70"/>
      <c r="CD40" s="457"/>
      <c r="CE40" s="502" t="s">
        <v>1</v>
      </c>
      <c r="CF40" s="874">
        <f>ROUNDDOWN(A1_MAG*0.4,2)</f>
        <v>208.1</v>
      </c>
      <c r="CG40" s="29"/>
      <c r="CH40" s="1302" t="s">
        <v>3</v>
      </c>
      <c r="CI40" s="1196"/>
      <c r="CJ40" s="872">
        <f>ROUNDDOWN(A1_MAG*0.5,2)</f>
        <v>260.13</v>
      </c>
      <c r="CK40" s="71"/>
      <c r="CL40" s="29"/>
      <c r="CM40" s="29"/>
      <c r="CN40" s="131"/>
      <c r="CO40" s="131"/>
      <c r="CP40" s="131"/>
      <c r="CQ40" s="29"/>
      <c r="CR40" s="131"/>
      <c r="CS40" s="29"/>
      <c r="CT40" s="29"/>
      <c r="CU40" s="66" t="s">
        <v>1086</v>
      </c>
      <c r="CV40" s="65">
        <f t="shared" si="29"/>
        <v>1162</v>
      </c>
      <c r="CW40" s="425"/>
      <c r="CX40" s="423"/>
      <c r="CY40" s="480" t="s">
        <v>899</v>
      </c>
      <c r="CZ40" s="528" t="s">
        <v>3</v>
      </c>
      <c r="DA40" s="872">
        <f>ROUNDDOWN(DA$13*0.2,2)</f>
        <v>110.66</v>
      </c>
      <c r="DB40" s="425"/>
      <c r="DC40" s="1298" t="s">
        <v>905</v>
      </c>
      <c r="DD40" s="1299"/>
      <c r="DE40" s="1300"/>
      <c r="DF40" s="424"/>
      <c r="DG40" s="425"/>
      <c r="DH40" s="66" t="s">
        <v>706</v>
      </c>
      <c r="DI40" s="65">
        <f t="shared" si="2"/>
        <v>443.87</v>
      </c>
      <c r="DK40" s="108"/>
      <c r="DL40" s="461" t="s">
        <v>1314</v>
      </c>
      <c r="DM40" s="462" t="s">
        <v>471</v>
      </c>
      <c r="DN40" s="806">
        <f>VLOOKUP("TV COMISS PGE/DP 16 40H",RHE,10,FALSE)</f>
        <v>443.87</v>
      </c>
      <c r="DO40" s="29"/>
      <c r="DP40" s="461" t="s">
        <v>1265</v>
      </c>
      <c r="DQ40" s="462" t="s">
        <v>989</v>
      </c>
      <c r="DR40" s="938">
        <v>691.88</v>
      </c>
      <c r="DS40" s="109"/>
      <c r="DU40" s="66" t="s">
        <v>706</v>
      </c>
      <c r="DV40" s="65">
        <f t="shared" si="3"/>
        <v>1004.088</v>
      </c>
      <c r="DX40" s="108"/>
      <c r="DY40" s="461" t="s">
        <v>1313</v>
      </c>
      <c r="DZ40" s="462" t="s">
        <v>1022</v>
      </c>
      <c r="EA40" s="963">
        <f>EA39*4</f>
        <v>2918.792</v>
      </c>
      <c r="EB40" s="29"/>
      <c r="EC40" s="498" t="s">
        <v>1383</v>
      </c>
      <c r="ED40" s="462" t="s">
        <v>763</v>
      </c>
      <c r="EE40" s="806">
        <f t="shared" si="28"/>
        <v>764.84</v>
      </c>
      <c r="EF40" s="109"/>
      <c r="EH40" s="66" t="s">
        <v>706</v>
      </c>
      <c r="EI40" s="65">
        <f t="shared" si="24"/>
        <v>438.92</v>
      </c>
      <c r="EK40" s="108"/>
      <c r="ES40" s="109"/>
      <c r="EU40" s="108"/>
      <c r="FB40" s="109"/>
      <c r="FD40" s="86"/>
      <c r="FE40" s="87"/>
      <c r="FG40" s="108"/>
      <c r="FH40" s="131"/>
      <c r="FI40" s="29"/>
      <c r="FJ40" s="29"/>
      <c r="FK40" s="109"/>
      <c r="FN40" s="70"/>
      <c r="FO40" s="29"/>
      <c r="FP40" s="29"/>
      <c r="FQ40" s="29"/>
      <c r="FR40" s="131"/>
      <c r="FS40" s="29"/>
      <c r="FT40" s="29"/>
      <c r="FU40" s="29"/>
      <c r="FV40" s="29"/>
      <c r="FW40" s="71"/>
    </row>
    <row r="41" spans="1:179" ht="12.75" customHeight="1">
      <c r="A41" s="77"/>
      <c r="B41" s="77"/>
      <c r="C41" s="77"/>
      <c r="D41" s="77"/>
      <c r="E41" s="77"/>
      <c r="F41" s="77"/>
      <c r="H41" s="86"/>
      <c r="I41" s="87"/>
      <c r="K41" s="108"/>
      <c r="L41" s="30"/>
      <c r="M41" s="30"/>
      <c r="N41" s="131"/>
      <c r="O41" s="29"/>
      <c r="P41" s="29"/>
      <c r="Q41" s="109"/>
      <c r="S41" s="86"/>
      <c r="T41" s="87"/>
      <c r="V41" s="108"/>
      <c r="W41" s="29"/>
      <c r="X41" s="29"/>
      <c r="Y41" s="29"/>
      <c r="Z41" s="29"/>
      <c r="AA41" s="29"/>
      <c r="AB41" s="109"/>
      <c r="AD41" s="86"/>
      <c r="AE41" s="87"/>
      <c r="AG41" s="108"/>
      <c r="AK41" s="29"/>
      <c r="AL41" s="29"/>
      <c r="AM41" s="109"/>
      <c r="AO41" s="66" t="s">
        <v>707</v>
      </c>
      <c r="AP41" s="65">
        <f aca="true" t="shared" si="30" ref="AP41:AP64">AU41</f>
        <v>1746.34</v>
      </c>
      <c r="AR41" s="108"/>
      <c r="AS41" s="461" t="s">
        <v>1315</v>
      </c>
      <c r="AT41" s="462" t="s">
        <v>466</v>
      </c>
      <c r="AU41" s="806">
        <f>VLOOKUP("TV COMISS PGE/DP 19 40H",RHE,10,FALSE)</f>
        <v>1746.34</v>
      </c>
      <c r="AV41" s="29"/>
      <c r="AW41" s="142" t="s">
        <v>1266</v>
      </c>
      <c r="AX41" s="53" t="s">
        <v>1198</v>
      </c>
      <c r="AY41" s="937">
        <v>1396.51</v>
      </c>
      <c r="AZ41" s="109"/>
      <c r="BA41" s="29"/>
      <c r="BB41" s="29"/>
      <c r="BC41" s="29"/>
      <c r="BD41" s="131"/>
      <c r="BE41" s="151"/>
      <c r="BF41" s="29"/>
      <c r="BI41" s="108"/>
      <c r="BJ41" s="30"/>
      <c r="BK41" s="29"/>
      <c r="BL41" s="151"/>
      <c r="BM41" s="151"/>
      <c r="BN41" s="71"/>
      <c r="BP41" s="108"/>
      <c r="BQ41" s="145" t="s">
        <v>1315</v>
      </c>
      <c r="BR41" s="52" t="str">
        <f t="shared" si="4"/>
        <v>CC PGE 10</v>
      </c>
      <c r="BS41" s="30" t="s">
        <v>1079</v>
      </c>
      <c r="BT41" s="29"/>
      <c r="BU41" s="29"/>
      <c r="BV41" s="29" t="s">
        <v>1255</v>
      </c>
      <c r="BW41" s="29" t="s">
        <v>1079</v>
      </c>
      <c r="BX41" s="109"/>
      <c r="BZ41" s="66" t="s">
        <v>292</v>
      </c>
      <c r="CA41" s="65">
        <f aca="true" t="shared" si="31" ref="CA41:CA46">CJ25</f>
        <v>780.39</v>
      </c>
      <c r="CB41" s="29"/>
      <c r="CC41" s="70"/>
      <c r="CF41" s="832"/>
      <c r="CG41" s="29"/>
      <c r="CH41" s="1301" t="s">
        <v>1</v>
      </c>
      <c r="CI41" s="1183"/>
      <c r="CJ41" s="874">
        <f>ROUNDDOWN(A1_MAG,2)</f>
        <v>520.26</v>
      </c>
      <c r="CK41" s="71"/>
      <c r="CL41" s="29"/>
      <c r="CM41" s="29"/>
      <c r="CN41" s="29"/>
      <c r="CO41" s="29"/>
      <c r="CP41" s="29"/>
      <c r="CQ41" s="29"/>
      <c r="CR41" s="131"/>
      <c r="CS41" s="29"/>
      <c r="CT41" s="29"/>
      <c r="CU41" s="66" t="s">
        <v>1087</v>
      </c>
      <c r="CV41" s="65">
        <f t="shared" si="29"/>
        <v>1433.2</v>
      </c>
      <c r="CW41" s="425"/>
      <c r="CX41" s="423"/>
      <c r="CY41" s="458"/>
      <c r="CZ41" s="503" t="s">
        <v>2</v>
      </c>
      <c r="DA41" s="873">
        <f>ROUNDDOWN(DA$13*0.3,2)</f>
        <v>165.99</v>
      </c>
      <c r="DB41" s="425"/>
      <c r="DC41" s="1393" t="s">
        <v>3</v>
      </c>
      <c r="DD41" s="1394"/>
      <c r="DE41" s="892">
        <f>DE36</f>
        <v>276.65</v>
      </c>
      <c r="DF41" s="424"/>
      <c r="DG41" s="425"/>
      <c r="DH41" s="66" t="s">
        <v>707</v>
      </c>
      <c r="DI41" s="65">
        <f aca="true" t="shared" si="32" ref="DI41:DI63">DN41</f>
        <v>610.89</v>
      </c>
      <c r="DK41" s="108"/>
      <c r="DL41" s="461" t="s">
        <v>1315</v>
      </c>
      <c r="DM41" s="462" t="s">
        <v>472</v>
      </c>
      <c r="DN41" s="806">
        <f>VLOOKUP("TV COMISS PGE/DP 18 40H",RHE,10,FALSE)</f>
        <v>610.89</v>
      </c>
      <c r="DO41" s="136"/>
      <c r="DP41" s="514" t="s">
        <v>1266</v>
      </c>
      <c r="DQ41" s="515" t="s">
        <v>990</v>
      </c>
      <c r="DR41" s="807">
        <f>VLOOKUP("TV COMISS JUST MIL 06 40H",RHE,10,FALSE)</f>
        <v>1080.03</v>
      </c>
      <c r="DS41" s="109"/>
      <c r="DU41" s="66" t="s">
        <v>707</v>
      </c>
      <c r="DV41" s="65">
        <f t="shared" si="3"/>
        <v>1148.022</v>
      </c>
      <c r="DX41" s="108"/>
      <c r="DY41" s="461" t="s">
        <v>1314</v>
      </c>
      <c r="DZ41" s="462" t="s">
        <v>1023</v>
      </c>
      <c r="EA41" s="963">
        <f>EA28*2.3</f>
        <v>1004.088</v>
      </c>
      <c r="EB41" s="29"/>
      <c r="EC41" s="498" t="s">
        <v>1384</v>
      </c>
      <c r="ED41" s="462" t="s">
        <v>764</v>
      </c>
      <c r="EE41" s="806">
        <f t="shared" si="28"/>
        <v>1166.87</v>
      </c>
      <c r="EF41" s="109"/>
      <c r="EH41" s="66" t="s">
        <v>707</v>
      </c>
      <c r="EI41" s="65">
        <f t="shared" si="24"/>
        <v>249.39</v>
      </c>
      <c r="EK41" s="108"/>
      <c r="ES41" s="109"/>
      <c r="EU41" s="108"/>
      <c r="FB41" s="109"/>
      <c r="FD41" s="86"/>
      <c r="FE41" s="87"/>
      <c r="FG41" s="108"/>
      <c r="FH41" s="131"/>
      <c r="FI41" s="29"/>
      <c r="FJ41" s="29"/>
      <c r="FK41" s="109"/>
      <c r="FN41" s="108"/>
      <c r="FO41" s="113"/>
      <c r="FP41" s="113"/>
      <c r="FQ41" s="113"/>
      <c r="FR41" s="180"/>
      <c r="FS41" s="113"/>
      <c r="FT41" s="113"/>
      <c r="FU41" s="113"/>
      <c r="FV41" s="113"/>
      <c r="FW41" s="109"/>
    </row>
    <row r="42" spans="1:179" ht="12.75" customHeight="1">
      <c r="A42" s="77"/>
      <c r="B42" s="77"/>
      <c r="C42" s="77"/>
      <c r="D42" s="77"/>
      <c r="E42" s="77"/>
      <c r="F42" s="77"/>
      <c r="H42" s="86"/>
      <c r="I42" s="87"/>
      <c r="K42" s="108"/>
      <c r="L42" s="30"/>
      <c r="M42" s="30"/>
      <c r="N42" s="131"/>
      <c r="O42" s="29"/>
      <c r="P42" s="29"/>
      <c r="Q42" s="109"/>
      <c r="S42" s="29"/>
      <c r="T42" s="29"/>
      <c r="V42" s="108"/>
      <c r="W42" s="318"/>
      <c r="X42" s="30"/>
      <c r="Y42" s="29"/>
      <c r="Z42" s="29"/>
      <c r="AA42" s="29"/>
      <c r="AB42" s="109"/>
      <c r="AD42" s="86"/>
      <c r="AE42" s="87"/>
      <c r="AG42" s="108"/>
      <c r="AH42" s="1288" t="s">
        <v>554</v>
      </c>
      <c r="AI42" s="1289"/>
      <c r="AJ42" s="31" t="s">
        <v>555</v>
      </c>
      <c r="AK42" s="29"/>
      <c r="AL42" s="29"/>
      <c r="AM42" s="109"/>
      <c r="AO42" s="66" t="s">
        <v>92</v>
      </c>
      <c r="AP42" s="65">
        <f t="shared" si="30"/>
        <v>1944.54</v>
      </c>
      <c r="AR42" s="108"/>
      <c r="AS42" s="461" t="s">
        <v>1316</v>
      </c>
      <c r="AT42" s="462" t="s">
        <v>467</v>
      </c>
      <c r="AU42" s="806">
        <f>VLOOKUP("TV COMISS PGE/DP 21 40H",RHE,10,FALSE)</f>
        <v>1944.54</v>
      </c>
      <c r="AV42" s="29"/>
      <c r="AW42" s="142" t="s">
        <v>1267</v>
      </c>
      <c r="AX42" s="53" t="s">
        <v>1199</v>
      </c>
      <c r="AY42" s="937">
        <v>1633.85</v>
      </c>
      <c r="AZ42" s="109"/>
      <c r="BA42" s="29"/>
      <c r="BB42" s="29"/>
      <c r="BC42" s="1283"/>
      <c r="BD42" s="1283"/>
      <c r="BE42" s="1283"/>
      <c r="BF42" s="29"/>
      <c r="BI42" s="108"/>
      <c r="BJ42" s="1348" t="s">
        <v>370</v>
      </c>
      <c r="BK42" s="1349"/>
      <c r="BL42" s="1349"/>
      <c r="BM42" s="1350"/>
      <c r="BN42" s="71"/>
      <c r="BP42" s="108"/>
      <c r="BQ42" s="145" t="s">
        <v>1316</v>
      </c>
      <c r="BR42" s="52" t="str">
        <f t="shared" si="4"/>
        <v>CC PGE 11</v>
      </c>
      <c r="BS42" s="30" t="s">
        <v>1079</v>
      </c>
      <c r="BT42" s="29"/>
      <c r="BU42" s="29"/>
      <c r="BV42" s="29" t="s">
        <v>1256</v>
      </c>
      <c r="BW42" s="29" t="s">
        <v>1079</v>
      </c>
      <c r="BX42" s="109"/>
      <c r="BZ42" s="66" t="s">
        <v>293</v>
      </c>
      <c r="CA42" s="65">
        <f t="shared" si="31"/>
        <v>897.44</v>
      </c>
      <c r="CB42" s="29"/>
      <c r="CC42" s="70"/>
      <c r="CD42" s="480" t="s">
        <v>900</v>
      </c>
      <c r="CE42" s="528" t="s">
        <v>3</v>
      </c>
      <c r="CF42" s="872">
        <f>ROUNDDOWN(A1_MAG*0.4,2)</f>
        <v>208.1</v>
      </c>
      <c r="CG42" s="29"/>
      <c r="CH42" s="29"/>
      <c r="CI42" s="29"/>
      <c r="CJ42" s="29"/>
      <c r="CK42" s="71"/>
      <c r="CL42" s="29"/>
      <c r="CM42" s="29"/>
      <c r="CN42" s="318"/>
      <c r="CO42" s="318"/>
      <c r="CP42" s="131"/>
      <c r="CQ42" s="29"/>
      <c r="CR42" s="29"/>
      <c r="CS42" s="29"/>
      <c r="CT42" s="29"/>
      <c r="CU42" s="66" t="s">
        <v>225</v>
      </c>
      <c r="CV42" s="65">
        <f t="shared" si="29"/>
        <v>1549.4</v>
      </c>
      <c r="CW42" s="425"/>
      <c r="CX42" s="423"/>
      <c r="CY42" s="457"/>
      <c r="CZ42" s="502" t="s">
        <v>1</v>
      </c>
      <c r="DA42" s="874">
        <f>ROUNDDOWN(DA$13*0.4,2)</f>
        <v>221.32</v>
      </c>
      <c r="DB42" s="425"/>
      <c r="DC42" s="1314" t="s">
        <v>2</v>
      </c>
      <c r="DD42" s="1315"/>
      <c r="DE42" s="893">
        <f>ROUNDDOWN(DA$13*0.75,2)</f>
        <v>414.97</v>
      </c>
      <c r="DF42" s="424"/>
      <c r="DG42" s="425"/>
      <c r="DH42" s="66" t="s">
        <v>92</v>
      </c>
      <c r="DI42" s="65">
        <f t="shared" si="32"/>
        <v>698.78</v>
      </c>
      <c r="DK42" s="108"/>
      <c r="DL42" s="461" t="s">
        <v>1316</v>
      </c>
      <c r="DM42" s="462" t="s">
        <v>473</v>
      </c>
      <c r="DN42" s="806">
        <f>VLOOKUP("TV COMISS PGE/DP 20 40H",RHE,10,FALSE)</f>
        <v>698.78</v>
      </c>
      <c r="DO42" s="136"/>
      <c r="DP42" s="511" t="s">
        <v>1267</v>
      </c>
      <c r="DQ42" s="510" t="s">
        <v>527</v>
      </c>
      <c r="DR42" s="812">
        <f>VLOOKUP("TV COMISS ESP SARH 19 30H",RHE,10,FALSE)</f>
        <v>151.6</v>
      </c>
      <c r="DS42" s="109"/>
      <c r="DU42" s="66" t="s">
        <v>92</v>
      </c>
      <c r="DV42" s="65">
        <f t="shared" si="3"/>
        <v>1278.202</v>
      </c>
      <c r="DX42" s="108"/>
      <c r="DY42" s="461" t="s">
        <v>1315</v>
      </c>
      <c r="DZ42" s="462" t="s">
        <v>1024</v>
      </c>
      <c r="EA42" s="963">
        <f>EA29*2.3</f>
        <v>1148.022</v>
      </c>
      <c r="EB42" s="29"/>
      <c r="EC42" s="498" t="s">
        <v>1385</v>
      </c>
      <c r="ED42" s="462" t="s">
        <v>765</v>
      </c>
      <c r="EE42" s="806">
        <f t="shared" si="28"/>
        <v>1526.45</v>
      </c>
      <c r="EF42" s="109"/>
      <c r="EH42" s="66" t="s">
        <v>92</v>
      </c>
      <c r="EI42" s="65">
        <f t="shared" si="24"/>
        <v>374.08</v>
      </c>
      <c r="EK42" s="108"/>
      <c r="ES42" s="109"/>
      <c r="EU42" s="108"/>
      <c r="EV42" s="459" t="s">
        <v>202</v>
      </c>
      <c r="EW42" s="460"/>
      <c r="EX42" s="537" t="s">
        <v>687</v>
      </c>
      <c r="EY42" s="537"/>
      <c r="EZ42" s="550">
        <v>40</v>
      </c>
      <c r="FA42" s="805">
        <f>VLOOKUP("TV COMISS GERAL 02 40H",RHE,10,FALSE)</f>
        <v>69.9</v>
      </c>
      <c r="FB42" s="109"/>
      <c r="FD42" s="86"/>
      <c r="FE42" s="87"/>
      <c r="FG42" s="108"/>
      <c r="FH42" s="131"/>
      <c r="FI42" s="29"/>
      <c r="FJ42" s="29"/>
      <c r="FK42" s="109"/>
      <c r="FN42" s="108"/>
      <c r="FO42" s="29"/>
      <c r="FP42" s="29"/>
      <c r="FQ42" s="29"/>
      <c r="FR42" s="131"/>
      <c r="FS42" s="29"/>
      <c r="FT42" s="29"/>
      <c r="FU42" s="112"/>
      <c r="FV42" s="30"/>
      <c r="FW42" s="109"/>
    </row>
    <row r="43" spans="1:179" ht="12.75" customHeight="1">
      <c r="A43" s="77"/>
      <c r="B43" s="77"/>
      <c r="C43" s="77"/>
      <c r="D43" s="77"/>
      <c r="E43" s="77"/>
      <c r="F43" s="77"/>
      <c r="H43" s="86"/>
      <c r="I43" s="87"/>
      <c r="K43" s="108"/>
      <c r="L43" s="30"/>
      <c r="M43" s="30"/>
      <c r="N43" s="131"/>
      <c r="O43" s="29"/>
      <c r="P43" s="29"/>
      <c r="Q43" s="109"/>
      <c r="S43" s="86"/>
      <c r="T43" s="87"/>
      <c r="V43" s="108"/>
      <c r="W43" s="318"/>
      <c r="X43" s="30"/>
      <c r="Y43" s="29"/>
      <c r="Z43" s="318"/>
      <c r="AA43" s="30"/>
      <c r="AB43" s="109"/>
      <c r="AD43" s="86"/>
      <c r="AE43" s="87"/>
      <c r="AG43" s="70"/>
      <c r="AH43" s="29"/>
      <c r="AK43" s="29"/>
      <c r="AL43" s="29"/>
      <c r="AM43" s="109"/>
      <c r="AO43" s="66" t="s">
        <v>93</v>
      </c>
      <c r="AP43" s="65">
        <f t="shared" si="30"/>
        <v>2480.37</v>
      </c>
      <c r="AR43" s="108"/>
      <c r="AS43" s="461" t="s">
        <v>1317</v>
      </c>
      <c r="AT43" s="462" t="s">
        <v>1158</v>
      </c>
      <c r="AU43" s="806">
        <f>VLOOKUP("TV COMISS PGE/DP 23 40H",RHE,10,FALSE)</f>
        <v>2480.37</v>
      </c>
      <c r="AV43" s="29"/>
      <c r="AW43" s="142" t="s">
        <v>1268</v>
      </c>
      <c r="AX43" s="53" t="s">
        <v>1200</v>
      </c>
      <c r="AY43" s="937">
        <v>1911.17</v>
      </c>
      <c r="AZ43" s="109"/>
      <c r="BA43" s="29"/>
      <c r="BB43" s="29"/>
      <c r="BC43" s="1283"/>
      <c r="BD43" s="1283"/>
      <c r="BE43" s="1283"/>
      <c r="BF43" s="29"/>
      <c r="BI43" s="108"/>
      <c r="BJ43" s="1351"/>
      <c r="BK43" s="1283"/>
      <c r="BL43" s="1283"/>
      <c r="BM43" s="1352"/>
      <c r="BN43" s="71"/>
      <c r="BP43" s="108"/>
      <c r="BQ43" s="145" t="s">
        <v>1317</v>
      </c>
      <c r="BR43" s="52" t="str">
        <f t="shared" si="4"/>
        <v>CC PGE 12 </v>
      </c>
      <c r="BS43" s="30" t="s">
        <v>1079</v>
      </c>
      <c r="BT43" s="29"/>
      <c r="BU43" s="29"/>
      <c r="BV43" s="29" t="s">
        <v>1257</v>
      </c>
      <c r="BW43" s="29" t="s">
        <v>1079</v>
      </c>
      <c r="BX43" s="109"/>
      <c r="BZ43" s="66" t="s">
        <v>1407</v>
      </c>
      <c r="CA43" s="65">
        <f t="shared" si="31"/>
        <v>1014.5</v>
      </c>
      <c r="CB43" s="29"/>
      <c r="CC43" s="70"/>
      <c r="CD43" s="458"/>
      <c r="CE43" s="503" t="s">
        <v>2</v>
      </c>
      <c r="CF43" s="873">
        <f>ROUNDDOWN(A1_MAG*0.6,2)</f>
        <v>312.15</v>
      </c>
      <c r="CG43" s="29"/>
      <c r="CK43" s="71"/>
      <c r="CL43" s="29"/>
      <c r="CM43" s="29"/>
      <c r="CN43" s="131"/>
      <c r="CO43" s="131"/>
      <c r="CP43" s="131"/>
      <c r="CQ43" s="29"/>
      <c r="CR43" s="29"/>
      <c r="CS43" s="29"/>
      <c r="CT43" s="29"/>
      <c r="CU43" s="66" t="s">
        <v>292</v>
      </c>
      <c r="CV43" s="65">
        <f aca="true" t="shared" si="33" ref="CV43:CV48">DE27</f>
        <v>830</v>
      </c>
      <c r="CW43" s="425"/>
      <c r="CX43" s="423"/>
      <c r="CY43" s="409"/>
      <c r="CZ43" s="409"/>
      <c r="DA43" s="924"/>
      <c r="DB43" s="425"/>
      <c r="DC43" s="1395" t="s">
        <v>1</v>
      </c>
      <c r="DD43" s="1396"/>
      <c r="DE43" s="894">
        <f>DE37</f>
        <v>553.3</v>
      </c>
      <c r="DF43" s="424"/>
      <c r="DG43" s="425"/>
      <c r="DH43" s="66" t="s">
        <v>93</v>
      </c>
      <c r="DI43" s="65">
        <f t="shared" si="32"/>
        <v>777.67</v>
      </c>
      <c r="DK43" s="108"/>
      <c r="DL43" s="461" t="s">
        <v>1317</v>
      </c>
      <c r="DM43" s="462" t="s">
        <v>474</v>
      </c>
      <c r="DN43" s="806">
        <f>VLOOKUP("TV COMISS PGE/DP 22 40H",RHE,10,FALSE)</f>
        <v>777.67</v>
      </c>
      <c r="DO43" s="136"/>
      <c r="DP43" s="461" t="s">
        <v>1268</v>
      </c>
      <c r="DQ43" s="462" t="s">
        <v>527</v>
      </c>
      <c r="DR43" s="806">
        <f>VLOOKUP("TV COMISS ESP SARH 20 30H",RHE,10,FALSE)</f>
        <v>170.2</v>
      </c>
      <c r="DS43" s="109"/>
      <c r="DU43" s="66" t="s">
        <v>93</v>
      </c>
      <c r="DV43" s="65">
        <f t="shared" si="3"/>
        <v>1630.6309999999999</v>
      </c>
      <c r="DX43" s="108"/>
      <c r="DY43" s="461" t="s">
        <v>1316</v>
      </c>
      <c r="DZ43" s="462" t="s">
        <v>1025</v>
      </c>
      <c r="EA43" s="963">
        <f>EA30*2.3</f>
        <v>1278.202</v>
      </c>
      <c r="EB43" s="29"/>
      <c r="EC43" s="498" t="s">
        <v>1386</v>
      </c>
      <c r="ED43" s="462" t="s">
        <v>766</v>
      </c>
      <c r="EE43" s="806">
        <f t="shared" si="28"/>
        <v>1746.34</v>
      </c>
      <c r="EF43" s="109"/>
      <c r="EH43" s="66" t="s">
        <v>93</v>
      </c>
      <c r="EI43" s="65">
        <f t="shared" si="24"/>
        <v>493.79</v>
      </c>
      <c r="EK43" s="108"/>
      <c r="ES43" s="109"/>
      <c r="EU43" s="108"/>
      <c r="EV43" s="461" t="s">
        <v>203</v>
      </c>
      <c r="EW43" s="469"/>
      <c r="EX43" s="551" t="s">
        <v>688</v>
      </c>
      <c r="EY43" s="551"/>
      <c r="EZ43" s="553">
        <v>40</v>
      </c>
      <c r="FA43" s="806">
        <f>VLOOKUP("TV COMISS GERAL 04 40H",RHE,10,FALSE)</f>
        <v>83.69</v>
      </c>
      <c r="FB43" s="109"/>
      <c r="FD43" s="86"/>
      <c r="FE43" s="87"/>
      <c r="FG43" s="108"/>
      <c r="FH43" s="131"/>
      <c r="FI43" s="29"/>
      <c r="FJ43" s="29"/>
      <c r="FK43" s="109"/>
      <c r="FN43" s="108"/>
      <c r="FO43" s="29"/>
      <c r="FP43" s="29"/>
      <c r="FQ43" s="29"/>
      <c r="FR43" s="131"/>
      <c r="FS43" s="29"/>
      <c r="FT43" s="29"/>
      <c r="FU43" s="112"/>
      <c r="FV43" s="30"/>
      <c r="FW43" s="109"/>
    </row>
    <row r="44" spans="1:179" ht="12.75" customHeight="1">
      <c r="A44" s="77"/>
      <c r="B44" s="77"/>
      <c r="C44" s="77"/>
      <c r="D44" s="77"/>
      <c r="E44" s="77"/>
      <c r="F44" s="77"/>
      <c r="H44" s="86"/>
      <c r="I44" s="87"/>
      <c r="K44" s="108"/>
      <c r="L44" s="30"/>
      <c r="M44" s="30"/>
      <c r="N44" s="131"/>
      <c r="O44" s="29"/>
      <c r="P44" s="29"/>
      <c r="Q44" s="109"/>
      <c r="S44" s="86"/>
      <c r="T44" s="87"/>
      <c r="V44" s="108"/>
      <c r="W44" s="318"/>
      <c r="X44" s="30"/>
      <c r="Y44" s="29"/>
      <c r="Z44" s="29"/>
      <c r="AA44" s="29"/>
      <c r="AB44" s="109"/>
      <c r="AD44" s="86"/>
      <c r="AE44" s="87"/>
      <c r="AG44" s="70"/>
      <c r="AH44" s="1288" t="s">
        <v>548</v>
      </c>
      <c r="AI44" s="1289"/>
      <c r="AJ44" s="31" t="s">
        <v>1232</v>
      </c>
      <c r="AK44" s="29"/>
      <c r="AL44" s="29"/>
      <c r="AM44" s="109"/>
      <c r="AO44" s="66" t="s">
        <v>94</v>
      </c>
      <c r="AP44" s="65">
        <f t="shared" si="30"/>
        <v>444.83</v>
      </c>
      <c r="AR44" s="108"/>
      <c r="AS44" s="461" t="s">
        <v>1318</v>
      </c>
      <c r="AT44" s="462" t="s">
        <v>1278</v>
      </c>
      <c r="AU44" s="806">
        <f>VLOOKUP("TV COMISS FAZENDA 1 01 40H",RHE,10,FALSE)</f>
        <v>444.83</v>
      </c>
      <c r="AV44" s="29"/>
      <c r="AW44" s="142" t="s">
        <v>1269</v>
      </c>
      <c r="AX44" s="53" t="s">
        <v>1201</v>
      </c>
      <c r="AY44" s="937">
        <v>2235.95</v>
      </c>
      <c r="AZ44" s="109"/>
      <c r="BA44" s="29"/>
      <c r="BB44" s="29"/>
      <c r="BC44" s="1283"/>
      <c r="BD44" s="1283"/>
      <c r="BE44" s="1283"/>
      <c r="BF44" s="29"/>
      <c r="BI44" s="108"/>
      <c r="BJ44" s="1353"/>
      <c r="BK44" s="1354"/>
      <c r="BL44" s="1354"/>
      <c r="BM44" s="1355"/>
      <c r="BN44" s="71"/>
      <c r="BP44" s="108"/>
      <c r="BQ44" s="145" t="s">
        <v>1318</v>
      </c>
      <c r="BR44" s="52" t="str">
        <f t="shared" si="4"/>
        <v>CC TES I</v>
      </c>
      <c r="BS44" s="30" t="e">
        <f>'01'!#REF!</f>
        <v>#REF!</v>
      </c>
      <c r="BT44" s="29"/>
      <c r="BU44" s="29"/>
      <c r="BV44" s="29" t="s">
        <v>1258</v>
      </c>
      <c r="BW44" s="29" t="s">
        <v>1079</v>
      </c>
      <c r="BX44" s="109"/>
      <c r="BZ44" s="66" t="s">
        <v>313</v>
      </c>
      <c r="CA44" s="65">
        <f t="shared" si="31"/>
        <v>1170.58</v>
      </c>
      <c r="CB44" s="29"/>
      <c r="CC44" s="70"/>
      <c r="CD44" s="457"/>
      <c r="CE44" s="502" t="s">
        <v>1</v>
      </c>
      <c r="CF44" s="874">
        <f>ROUNDDOWN(A1_MAG*0.8,2)</f>
        <v>416.2</v>
      </c>
      <c r="CG44" s="29"/>
      <c r="CH44" s="1184" t="s">
        <v>905</v>
      </c>
      <c r="CI44" s="1185"/>
      <c r="CJ44" s="1186"/>
      <c r="CK44" s="71"/>
      <c r="CL44" s="29"/>
      <c r="CM44" s="29"/>
      <c r="CN44" s="131"/>
      <c r="CO44" s="131"/>
      <c r="CP44" s="131"/>
      <c r="CQ44" s="29"/>
      <c r="CR44" s="111"/>
      <c r="CS44" s="111"/>
      <c r="CT44" s="29"/>
      <c r="CU44" s="66" t="s">
        <v>293</v>
      </c>
      <c r="CV44" s="65">
        <f t="shared" si="33"/>
        <v>954.5</v>
      </c>
      <c r="CW44" s="425"/>
      <c r="CX44" s="423"/>
      <c r="CY44" s="480" t="s">
        <v>900</v>
      </c>
      <c r="CZ44" s="528" t="s">
        <v>3</v>
      </c>
      <c r="DA44" s="872">
        <f>DA42</f>
        <v>221.32</v>
      </c>
      <c r="DB44" s="425"/>
      <c r="DF44" s="424"/>
      <c r="DG44" s="425"/>
      <c r="DH44" s="66" t="s">
        <v>94</v>
      </c>
      <c r="DI44" s="65">
        <f t="shared" si="32"/>
        <v>992.53</v>
      </c>
      <c r="DK44" s="108"/>
      <c r="DL44" s="493" t="s">
        <v>1318</v>
      </c>
      <c r="DM44" s="484" t="s">
        <v>907</v>
      </c>
      <c r="DN44" s="818">
        <f>VLOOKUP("TV COMISS PGE/DP 24 40H",RHE,10,FALSE)</f>
        <v>992.53</v>
      </c>
      <c r="DO44" s="29"/>
      <c r="DP44" s="461" t="s">
        <v>1269</v>
      </c>
      <c r="DQ44" s="462" t="s">
        <v>527</v>
      </c>
      <c r="DR44" s="806">
        <f>VLOOKUP("TV COMISS ESP SARH 21 30H",RHE,10,FALSE)</f>
        <v>190.7</v>
      </c>
      <c r="DS44" s="109"/>
      <c r="DU44" s="66" t="s">
        <v>94</v>
      </c>
      <c r="DV44" s="65">
        <f t="shared" si="3"/>
        <v>97.36</v>
      </c>
      <c r="DX44" s="108"/>
      <c r="DY44" s="461" t="s">
        <v>1317</v>
      </c>
      <c r="DZ44" s="462" t="s">
        <v>1026</v>
      </c>
      <c r="EA44" s="963">
        <f>EA31*2.3</f>
        <v>1630.6309999999999</v>
      </c>
      <c r="EB44" s="29"/>
      <c r="EC44" s="498" t="s">
        <v>1387</v>
      </c>
      <c r="ED44" s="462" t="s">
        <v>767</v>
      </c>
      <c r="EE44" s="806">
        <f t="shared" si="28"/>
        <v>1944.54</v>
      </c>
      <c r="EF44" s="109"/>
      <c r="EH44" s="66" t="s">
        <v>94</v>
      </c>
      <c r="EI44" s="65">
        <f t="shared" si="24"/>
        <v>274.32</v>
      </c>
      <c r="EK44" s="108"/>
      <c r="ES44" s="109"/>
      <c r="EU44" s="108"/>
      <c r="EV44" s="461" t="s">
        <v>204</v>
      </c>
      <c r="EW44" s="469"/>
      <c r="EX44" s="551" t="s">
        <v>689</v>
      </c>
      <c r="EY44" s="551"/>
      <c r="EZ44" s="553">
        <v>40</v>
      </c>
      <c r="FA44" s="806">
        <f>VLOOKUP("TV COMISS GERAL 06 40H",RHE,10,FALSE)</f>
        <v>107.31</v>
      </c>
      <c r="FB44" s="109"/>
      <c r="FD44" s="86"/>
      <c r="FE44" s="87"/>
      <c r="FG44" s="108"/>
      <c r="FH44" s="131"/>
      <c r="FI44" s="29"/>
      <c r="FJ44" s="29"/>
      <c r="FK44" s="109"/>
      <c r="FN44" s="108"/>
      <c r="FO44" s="39" t="s">
        <v>191</v>
      </c>
      <c r="FP44" s="1374" t="s">
        <v>793</v>
      </c>
      <c r="FQ44" s="1375"/>
      <c r="FR44" s="1374" t="s">
        <v>192</v>
      </c>
      <c r="FS44" s="1375"/>
      <c r="FT44" s="1374" t="s">
        <v>190</v>
      </c>
      <c r="FU44" s="1375"/>
      <c r="FV44" s="30"/>
      <c r="FW44" s="109"/>
    </row>
    <row r="45" spans="1:179" ht="12.75" customHeight="1">
      <c r="A45" s="77"/>
      <c r="B45" s="77"/>
      <c r="C45" s="77"/>
      <c r="D45" s="77"/>
      <c r="E45" s="77"/>
      <c r="F45" s="77"/>
      <c r="H45" s="86"/>
      <c r="I45" s="87"/>
      <c r="K45" s="108"/>
      <c r="L45" s="30"/>
      <c r="M45" s="30"/>
      <c r="N45" s="131"/>
      <c r="O45" s="29"/>
      <c r="P45" s="29"/>
      <c r="Q45" s="109"/>
      <c r="S45" s="86"/>
      <c r="T45" s="87"/>
      <c r="V45" s="108"/>
      <c r="W45" s="318"/>
      <c r="X45" s="30"/>
      <c r="Y45" s="29"/>
      <c r="Z45" s="29"/>
      <c r="AA45" s="29"/>
      <c r="AB45" s="109"/>
      <c r="AD45" s="86"/>
      <c r="AE45" s="87"/>
      <c r="AG45" s="108"/>
      <c r="AH45" s="29"/>
      <c r="AJ45" s="29" t="s">
        <v>1234</v>
      </c>
      <c r="AK45" s="29"/>
      <c r="AL45" s="29"/>
      <c r="AM45" s="109"/>
      <c r="AO45" s="66" t="s">
        <v>95</v>
      </c>
      <c r="AP45" s="65">
        <f t="shared" si="30"/>
        <v>503.94</v>
      </c>
      <c r="AR45" s="108"/>
      <c r="AS45" s="461" t="s">
        <v>1319</v>
      </c>
      <c r="AT45" s="462" t="s">
        <v>1112</v>
      </c>
      <c r="AU45" s="806">
        <f>VLOOKUP("TV COMISS FAZENDA 1 03 40H",RHE,10,FALSE)</f>
        <v>503.94</v>
      </c>
      <c r="AV45" s="29"/>
      <c r="AW45" s="142" t="s">
        <v>1270</v>
      </c>
      <c r="AX45" s="53" t="s">
        <v>1202</v>
      </c>
      <c r="AY45" s="937">
        <v>2618.18</v>
      </c>
      <c r="AZ45" s="109"/>
      <c r="BA45" s="29"/>
      <c r="BB45" s="29"/>
      <c r="BC45" s="29"/>
      <c r="BD45" s="131"/>
      <c r="BE45" s="29"/>
      <c r="BF45" s="29" t="s">
        <v>1079</v>
      </c>
      <c r="BI45" s="108"/>
      <c r="BJ45" s="30"/>
      <c r="BK45" s="29" t="s">
        <v>1079</v>
      </c>
      <c r="BL45" s="29"/>
      <c r="BM45" s="29"/>
      <c r="BN45" s="71" t="s">
        <v>1079</v>
      </c>
      <c r="BP45" s="108"/>
      <c r="BQ45" s="145" t="s">
        <v>1319</v>
      </c>
      <c r="BR45" s="52" t="str">
        <f t="shared" si="4"/>
        <v>CC TES II</v>
      </c>
      <c r="BS45" s="30" t="e">
        <f>'01'!#REF!</f>
        <v>#REF!</v>
      </c>
      <c r="BT45" s="29"/>
      <c r="BU45" s="29"/>
      <c r="BV45" s="29" t="s">
        <v>1259</v>
      </c>
      <c r="BW45" s="29" t="s">
        <v>1079</v>
      </c>
      <c r="BX45" s="109"/>
      <c r="BZ45" s="66" t="s">
        <v>52</v>
      </c>
      <c r="CA45" s="65">
        <f t="shared" si="31"/>
        <v>1443.72</v>
      </c>
      <c r="CB45" s="29"/>
      <c r="CC45" s="70"/>
      <c r="CF45" s="832"/>
      <c r="CG45" s="29"/>
      <c r="CH45" s="1302" t="s">
        <v>3</v>
      </c>
      <c r="CI45" s="1196"/>
      <c r="CJ45" s="872">
        <f>ROUNDDOWN(A1_MAG*0.5,2)</f>
        <v>260.13</v>
      </c>
      <c r="CK45" s="71"/>
      <c r="CL45" s="29"/>
      <c r="CM45" s="29"/>
      <c r="CN45" s="29"/>
      <c r="CO45" s="29"/>
      <c r="CP45" s="29"/>
      <c r="CQ45" s="29"/>
      <c r="CR45" s="131"/>
      <c r="CS45" s="29"/>
      <c r="CT45" s="29"/>
      <c r="CU45" s="66" t="s">
        <v>1407</v>
      </c>
      <c r="CV45" s="65">
        <f t="shared" si="33"/>
        <v>1079</v>
      </c>
      <c r="CW45" s="425"/>
      <c r="CX45" s="423"/>
      <c r="CY45" s="458"/>
      <c r="CZ45" s="503" t="s">
        <v>2</v>
      </c>
      <c r="DA45" s="873">
        <f>ROUNDDOWN(DA$13*0.6,2)</f>
        <v>331.98</v>
      </c>
      <c r="DB45" s="425"/>
      <c r="DF45" s="424"/>
      <c r="DG45" s="425"/>
      <c r="DH45" s="66" t="s">
        <v>95</v>
      </c>
      <c r="DI45" s="65">
        <f t="shared" si="32"/>
        <v>355.41</v>
      </c>
      <c r="DK45" s="108"/>
      <c r="DL45" s="497" t="s">
        <v>1319</v>
      </c>
      <c r="DM45" s="489" t="s">
        <v>951</v>
      </c>
      <c r="DN45" s="818">
        <f>VLOOKUP("TV COMISS ASS LEG 01 40H",RHE,10,FALSE)</f>
        <v>355.41</v>
      </c>
      <c r="DO45" s="29"/>
      <c r="DP45" s="461" t="s">
        <v>1270</v>
      </c>
      <c r="DQ45" s="462" t="s">
        <v>527</v>
      </c>
      <c r="DR45" s="806">
        <f>VLOOKUP("TV COMISS ESP SARH 22 30H",RHE,10,FALSE)</f>
        <v>215.7</v>
      </c>
      <c r="DS45" s="109"/>
      <c r="DU45" s="66" t="s">
        <v>95</v>
      </c>
      <c r="DV45" s="65">
        <f t="shared" si="3"/>
        <v>117.02</v>
      </c>
      <c r="DX45" s="108"/>
      <c r="DY45" s="461" t="s">
        <v>1318</v>
      </c>
      <c r="DZ45" s="462" t="s">
        <v>1027</v>
      </c>
      <c r="EA45" s="806">
        <f>DN33</f>
        <v>97.36</v>
      </c>
      <c r="EB45" s="29"/>
      <c r="EC45" s="500" t="s">
        <v>1388</v>
      </c>
      <c r="ED45" s="465" t="s">
        <v>768</v>
      </c>
      <c r="EE45" s="820">
        <f t="shared" si="28"/>
        <v>2480.37</v>
      </c>
      <c r="EF45" s="109"/>
      <c r="EH45" s="66" t="s">
        <v>95</v>
      </c>
      <c r="EI45" s="65">
        <f t="shared" si="24"/>
        <v>408.99</v>
      </c>
      <c r="EK45" s="108"/>
      <c r="ES45" s="109"/>
      <c r="EU45" s="108"/>
      <c r="EV45" s="461" t="s">
        <v>205</v>
      </c>
      <c r="EW45" s="469"/>
      <c r="EX45" s="551" t="s">
        <v>690</v>
      </c>
      <c r="EY45" s="551"/>
      <c r="EZ45" s="553">
        <v>40</v>
      </c>
      <c r="FA45" s="806">
        <f>VLOOKUP("TV COMISS GERAL 08 40H",RHE,10,FALSE)</f>
        <v>130.93</v>
      </c>
      <c r="FB45" s="109"/>
      <c r="FD45" s="86"/>
      <c r="FE45" s="87"/>
      <c r="FG45" s="108"/>
      <c r="FH45" s="131"/>
      <c r="FI45" s="29"/>
      <c r="FJ45" s="29"/>
      <c r="FK45" s="109"/>
      <c r="FN45" s="108"/>
      <c r="FO45" s="1378"/>
      <c r="FP45" s="1378"/>
      <c r="FQ45" s="1378"/>
      <c r="FR45" s="1378"/>
      <c r="FS45" s="1378"/>
      <c r="FT45" s="1378"/>
      <c r="FU45" s="1378"/>
      <c r="FV45" s="30" t="s">
        <v>277</v>
      </c>
      <c r="FW45" s="109"/>
    </row>
    <row r="46" spans="1:179" ht="13.5" customHeight="1" thickBot="1">
      <c r="A46" s="77"/>
      <c r="B46" s="77"/>
      <c r="C46" s="77"/>
      <c r="D46" s="77"/>
      <c r="E46" s="77"/>
      <c r="F46" s="77"/>
      <c r="H46" s="86"/>
      <c r="I46" s="87"/>
      <c r="K46" s="108"/>
      <c r="L46" s="30"/>
      <c r="M46" s="30"/>
      <c r="N46" s="131"/>
      <c r="O46" s="29"/>
      <c r="P46" s="29"/>
      <c r="Q46" s="109"/>
      <c r="S46" s="86"/>
      <c r="T46" s="87"/>
      <c r="V46" s="108"/>
      <c r="W46" s="318"/>
      <c r="X46" s="30"/>
      <c r="Y46" s="29"/>
      <c r="Z46" s="29"/>
      <c r="AA46" s="29"/>
      <c r="AB46" s="109"/>
      <c r="AD46" s="86"/>
      <c r="AE46" s="87"/>
      <c r="AG46" s="70"/>
      <c r="AH46" s="30"/>
      <c r="AJ46" s="31" t="s">
        <v>1235</v>
      </c>
      <c r="AK46" s="29"/>
      <c r="AL46" s="29"/>
      <c r="AM46" s="109"/>
      <c r="AO46" s="66" t="s">
        <v>727</v>
      </c>
      <c r="AP46" s="65">
        <f t="shared" si="30"/>
        <v>1090.37</v>
      </c>
      <c r="AR46" s="108"/>
      <c r="AS46" s="461" t="s">
        <v>196</v>
      </c>
      <c r="AT46" s="462" t="s">
        <v>1113</v>
      </c>
      <c r="AU46" s="806">
        <f>VLOOKUP("TV COMISS FAZENDA 1 05 40H",RHE,10,FALSE)</f>
        <v>1090.37</v>
      </c>
      <c r="AV46" s="29"/>
      <c r="AW46" s="142" t="s">
        <v>1271</v>
      </c>
      <c r="AX46" s="53" t="s">
        <v>1188</v>
      </c>
      <c r="AY46" s="937">
        <v>1120.08</v>
      </c>
      <c r="AZ46" s="109"/>
      <c r="BA46" s="29"/>
      <c r="BB46" s="29"/>
      <c r="BC46" s="29"/>
      <c r="BD46" s="131"/>
      <c r="BE46" s="29"/>
      <c r="BF46" s="29"/>
      <c r="BI46" s="108"/>
      <c r="BJ46" s="30"/>
      <c r="BK46" s="29"/>
      <c r="BL46" s="29"/>
      <c r="BM46" s="29"/>
      <c r="BN46" s="71"/>
      <c r="BP46" s="108"/>
      <c r="BQ46" s="145" t="s">
        <v>196</v>
      </c>
      <c r="BR46" s="52" t="str">
        <f t="shared" si="4"/>
        <v>CC TES III </v>
      </c>
      <c r="BS46" s="30" t="s">
        <v>1079</v>
      </c>
      <c r="BT46" s="29"/>
      <c r="BU46" s="29"/>
      <c r="BV46" s="29" t="s">
        <v>1260</v>
      </c>
      <c r="BW46" s="29" t="s">
        <v>1079</v>
      </c>
      <c r="BX46" s="109"/>
      <c r="BZ46" s="67" t="s">
        <v>53</v>
      </c>
      <c r="CA46" s="83">
        <f t="shared" si="31"/>
        <v>1560.78</v>
      </c>
      <c r="CB46" s="29"/>
      <c r="CC46" s="70"/>
      <c r="CD46" s="480" t="s">
        <v>901</v>
      </c>
      <c r="CE46" s="528" t="s">
        <v>3</v>
      </c>
      <c r="CF46" s="872">
        <f>ROUNDDOWN(A1_MAG*0.6,2)</f>
        <v>312.15</v>
      </c>
      <c r="CG46" s="29"/>
      <c r="CH46" s="1392" t="s">
        <v>2</v>
      </c>
      <c r="CI46" s="1182"/>
      <c r="CJ46" s="873">
        <f>ROUNDDOWN(A1_MAG*0.75,2)</f>
        <v>390.19</v>
      </c>
      <c r="CK46" s="71"/>
      <c r="CL46" s="29"/>
      <c r="CM46" s="29"/>
      <c r="CN46" s="318"/>
      <c r="CO46" s="318"/>
      <c r="CP46" s="131"/>
      <c r="CQ46" s="29"/>
      <c r="CR46" s="131"/>
      <c r="CS46" s="29"/>
      <c r="CT46" s="29"/>
      <c r="CU46" s="66" t="s">
        <v>313</v>
      </c>
      <c r="CV46" s="65">
        <f t="shared" si="33"/>
        <v>1245</v>
      </c>
      <c r="CW46" s="425"/>
      <c r="CX46" s="423"/>
      <c r="CY46" s="457"/>
      <c r="CZ46" s="502" t="s">
        <v>1</v>
      </c>
      <c r="DA46" s="874">
        <f>ROUNDDOWN(DA$13*0.8,2)</f>
        <v>442.64</v>
      </c>
      <c r="DB46" s="425"/>
      <c r="DC46" s="1316" t="s">
        <v>906</v>
      </c>
      <c r="DD46" s="1317"/>
      <c r="DE46" s="925">
        <v>290</v>
      </c>
      <c r="DF46" s="424"/>
      <c r="DG46" s="425"/>
      <c r="DH46" s="66" t="s">
        <v>727</v>
      </c>
      <c r="DI46" s="65">
        <f t="shared" si="32"/>
        <v>578.25</v>
      </c>
      <c r="DK46" s="108"/>
      <c r="DL46" s="461" t="s">
        <v>196</v>
      </c>
      <c r="DM46" s="462" t="s">
        <v>952</v>
      </c>
      <c r="DN46" s="818">
        <f>VLOOKUP("TV COMISS ASS LEG 02 40H",RHE,10,FALSE)</f>
        <v>578.25</v>
      </c>
      <c r="DO46" s="29"/>
      <c r="DP46" s="461" t="s">
        <v>1271</v>
      </c>
      <c r="DQ46" s="462" t="s">
        <v>527</v>
      </c>
      <c r="DR46" s="806">
        <f>VLOOKUP("TV COMISS ESP SARH 23 30H",RHE,10,FALSE)</f>
        <v>240.1</v>
      </c>
      <c r="DS46" s="109"/>
      <c r="DU46" s="66" t="s">
        <v>727</v>
      </c>
      <c r="DV46" s="65">
        <f t="shared" si="3"/>
        <v>150.11</v>
      </c>
      <c r="DX46" s="108"/>
      <c r="DY46" s="461" t="s">
        <v>1319</v>
      </c>
      <c r="DZ46" s="462" t="s">
        <v>1028</v>
      </c>
      <c r="EA46" s="806">
        <f aca="true" t="shared" si="34" ref="EA46:EA56">DN34</f>
        <v>117.02</v>
      </c>
      <c r="EB46" s="29"/>
      <c r="EC46" s="131"/>
      <c r="ED46" s="29"/>
      <c r="EE46" s="29"/>
      <c r="EF46" s="109"/>
      <c r="EH46" s="66" t="s">
        <v>727</v>
      </c>
      <c r="EI46" s="65">
        <f t="shared" si="24"/>
        <v>548.65</v>
      </c>
      <c r="EK46" s="108"/>
      <c r="ES46" s="109"/>
      <c r="EU46" s="108"/>
      <c r="EV46" s="461" t="s">
        <v>206</v>
      </c>
      <c r="EW46" s="469"/>
      <c r="EX46" s="551" t="s">
        <v>691</v>
      </c>
      <c r="EY46" s="551"/>
      <c r="EZ46" s="553">
        <v>40</v>
      </c>
      <c r="FA46" s="806">
        <f>VLOOKUP("TV COMISS GERAL 10 40H",RHE,10,FALSE)</f>
        <v>155.15</v>
      </c>
      <c r="FB46" s="109"/>
      <c r="FD46" s="86"/>
      <c r="FE46" s="87"/>
      <c r="FG46" s="108"/>
      <c r="FH46" s="131"/>
      <c r="FI46" s="29"/>
      <c r="FJ46" s="29"/>
      <c r="FK46" s="109"/>
      <c r="FN46" s="70"/>
      <c r="FO46" s="536" t="s">
        <v>872</v>
      </c>
      <c r="FP46" s="1380">
        <f>FJ13</f>
        <v>499.14</v>
      </c>
      <c r="FQ46" s="1380"/>
      <c r="FR46" s="1380">
        <f aca="true" t="shared" si="35" ref="FR46:FR51">ROUNDDOWN(FP46*0.35,2)</f>
        <v>174.69</v>
      </c>
      <c r="FS46" s="1380"/>
      <c r="FT46" s="1376">
        <f aca="true" t="shared" si="36" ref="FT46:FT51">FP46+FR46</f>
        <v>673.8299999999999</v>
      </c>
      <c r="FU46" s="1377"/>
      <c r="FV46" s="29"/>
      <c r="FW46" s="71"/>
    </row>
    <row r="47" spans="1:179" ht="12.75" customHeight="1">
      <c r="A47" s="77"/>
      <c r="B47" s="77"/>
      <c r="C47" s="77"/>
      <c r="D47" s="77"/>
      <c r="E47" s="77"/>
      <c r="F47" s="77"/>
      <c r="H47" s="86"/>
      <c r="I47" s="87"/>
      <c r="K47" s="108"/>
      <c r="L47" s="30"/>
      <c r="M47" s="30"/>
      <c r="N47" s="131"/>
      <c r="O47" s="29"/>
      <c r="P47" s="29"/>
      <c r="Q47" s="109"/>
      <c r="S47" s="86"/>
      <c r="T47" s="87"/>
      <c r="V47" s="108"/>
      <c r="W47" s="318"/>
      <c r="X47" s="30"/>
      <c r="Y47" s="29"/>
      <c r="Z47" s="32"/>
      <c r="AA47" s="29"/>
      <c r="AB47" s="109"/>
      <c r="AD47" s="86"/>
      <c r="AE47" s="87"/>
      <c r="AG47" s="108"/>
      <c r="AH47" s="30"/>
      <c r="AJ47" s="29" t="s">
        <v>1233</v>
      </c>
      <c r="AK47" s="29"/>
      <c r="AL47" s="29"/>
      <c r="AM47" s="109"/>
      <c r="AO47" s="66" t="s">
        <v>728</v>
      </c>
      <c r="AP47" s="65">
        <f t="shared" si="30"/>
        <v>1771.88</v>
      </c>
      <c r="AR47" s="108"/>
      <c r="AS47" s="461" t="s">
        <v>197</v>
      </c>
      <c r="AT47" s="462" t="s">
        <v>1114</v>
      </c>
      <c r="AU47" s="806">
        <f>VLOOKUP("TV COMISS FAZENDA 1 07 40H",RHE,10,FALSE)</f>
        <v>1771.88</v>
      </c>
      <c r="AV47" s="29"/>
      <c r="AW47" s="142" t="s">
        <v>1272</v>
      </c>
      <c r="AX47" s="53" t="s">
        <v>1189</v>
      </c>
      <c r="AY47" s="937">
        <v>1261.08</v>
      </c>
      <c r="AZ47" s="109"/>
      <c r="BA47" s="29"/>
      <c r="BB47" s="29"/>
      <c r="BC47" s="29"/>
      <c r="BD47" s="131"/>
      <c r="BE47" s="29"/>
      <c r="BF47" s="29"/>
      <c r="BI47" s="108"/>
      <c r="BJ47" s="30"/>
      <c r="BK47" s="29"/>
      <c r="BL47" s="29"/>
      <c r="BM47" s="29"/>
      <c r="BN47" s="71"/>
      <c r="BP47" s="108"/>
      <c r="BQ47" s="145" t="s">
        <v>197</v>
      </c>
      <c r="BR47" s="52" t="str">
        <f t="shared" si="4"/>
        <v>CC TES IV</v>
      </c>
      <c r="BS47" s="30" t="s">
        <v>1079</v>
      </c>
      <c r="BT47" s="29"/>
      <c r="BU47" s="29"/>
      <c r="BV47" s="29" t="s">
        <v>1261</v>
      </c>
      <c r="BW47" s="29" t="s">
        <v>1079</v>
      </c>
      <c r="BX47" s="109"/>
      <c r="BZ47" s="86"/>
      <c r="CA47" s="87"/>
      <c r="CB47" s="29"/>
      <c r="CC47" s="70"/>
      <c r="CD47" s="458"/>
      <c r="CE47" s="503" t="s">
        <v>2</v>
      </c>
      <c r="CF47" s="873">
        <f>ROUNDDOWN(A1_MAG*0.9,2)</f>
        <v>468.23</v>
      </c>
      <c r="CG47" s="29"/>
      <c r="CH47" s="1301" t="s">
        <v>1</v>
      </c>
      <c r="CI47" s="1183"/>
      <c r="CJ47" s="874">
        <f>ROUNDDOWN(A1_MAG,2)</f>
        <v>520.26</v>
      </c>
      <c r="CK47" s="71"/>
      <c r="CL47" s="29"/>
      <c r="CM47" s="29"/>
      <c r="CN47" s="131"/>
      <c r="CO47" s="131"/>
      <c r="CP47" s="131"/>
      <c r="CQ47" s="29"/>
      <c r="CR47" s="131"/>
      <c r="CS47" s="29"/>
      <c r="CT47" s="29"/>
      <c r="CU47" s="66" t="s">
        <v>52</v>
      </c>
      <c r="CV47" s="65">
        <f t="shared" si="33"/>
        <v>1535.5</v>
      </c>
      <c r="CW47" s="425"/>
      <c r="CX47" s="423"/>
      <c r="CY47" s="409"/>
      <c r="CZ47" s="409"/>
      <c r="DA47" s="924"/>
      <c r="DB47" s="425"/>
      <c r="DC47" s="1390"/>
      <c r="DD47" s="1390"/>
      <c r="DE47" s="425"/>
      <c r="DF47" s="424"/>
      <c r="DG47" s="425"/>
      <c r="DH47" s="66" t="s">
        <v>728</v>
      </c>
      <c r="DI47" s="65">
        <f t="shared" si="32"/>
        <v>703.1</v>
      </c>
      <c r="DK47" s="108"/>
      <c r="DL47" s="461" t="s">
        <v>197</v>
      </c>
      <c r="DM47" s="462" t="s">
        <v>953</v>
      </c>
      <c r="DN47" s="818">
        <f>VLOOKUP("TV COMISS ASS LEG 03 40H",RHE,10,FALSE)</f>
        <v>703.1</v>
      </c>
      <c r="DO47" s="29"/>
      <c r="DP47" s="461" t="s">
        <v>1272</v>
      </c>
      <c r="DQ47" s="462" t="s">
        <v>527</v>
      </c>
      <c r="DR47" s="806">
        <f>VLOOKUP("TV COMISS ESP SARH 24 30H",RHE,10,FALSE)</f>
        <v>269.4</v>
      </c>
      <c r="DS47" s="109"/>
      <c r="DU47" s="66" t="s">
        <v>728</v>
      </c>
      <c r="DV47" s="65">
        <f t="shared" si="3"/>
        <v>183.09</v>
      </c>
      <c r="DX47" s="108"/>
      <c r="DY47" s="461" t="s">
        <v>196</v>
      </c>
      <c r="DZ47" s="462" t="s">
        <v>1029</v>
      </c>
      <c r="EA47" s="806">
        <f t="shared" si="34"/>
        <v>150.11</v>
      </c>
      <c r="EB47" s="29"/>
      <c r="EF47" s="109"/>
      <c r="EH47" s="66" t="s">
        <v>728</v>
      </c>
      <c r="EI47" s="65">
        <f t="shared" si="24"/>
        <v>299.26</v>
      </c>
      <c r="EK47" s="108"/>
      <c r="ES47" s="109"/>
      <c r="EU47" s="108"/>
      <c r="EV47" s="461" t="s">
        <v>207</v>
      </c>
      <c r="EW47" s="469"/>
      <c r="EX47" s="551" t="s">
        <v>692</v>
      </c>
      <c r="EY47" s="551"/>
      <c r="EZ47" s="553">
        <v>40</v>
      </c>
      <c r="FA47" s="806">
        <f>VLOOKUP("TV COMISS GERAL 12 40H",RHE,10,FALSE)</f>
        <v>178.77</v>
      </c>
      <c r="FB47" s="109"/>
      <c r="FD47" s="86"/>
      <c r="FE47" s="87"/>
      <c r="FG47" s="108"/>
      <c r="FH47" s="131"/>
      <c r="FI47" s="29"/>
      <c r="FJ47" s="29"/>
      <c r="FK47" s="109"/>
      <c r="FN47" s="70"/>
      <c r="FO47" s="557" t="s">
        <v>873</v>
      </c>
      <c r="FP47" s="1379">
        <f>FJ15</f>
        <v>998.28</v>
      </c>
      <c r="FQ47" s="1379"/>
      <c r="FR47" s="1379">
        <f t="shared" si="35"/>
        <v>349.39</v>
      </c>
      <c r="FS47" s="1379"/>
      <c r="FT47" s="1372">
        <f t="shared" si="36"/>
        <v>1347.67</v>
      </c>
      <c r="FU47" s="1373"/>
      <c r="FV47" s="29"/>
      <c r="FW47" s="71"/>
    </row>
    <row r="48" spans="1:179" ht="12.75" customHeight="1" thickBot="1">
      <c r="A48" s="77"/>
      <c r="B48" s="77"/>
      <c r="C48" s="77"/>
      <c r="D48" s="77"/>
      <c r="E48" s="77"/>
      <c r="F48" s="77"/>
      <c r="H48" s="86"/>
      <c r="I48" s="87"/>
      <c r="K48" s="108"/>
      <c r="L48" s="30"/>
      <c r="M48" s="30"/>
      <c r="N48" s="131"/>
      <c r="O48" s="29"/>
      <c r="P48" s="29"/>
      <c r="Q48" s="109"/>
      <c r="S48" s="86"/>
      <c r="T48" s="87"/>
      <c r="V48" s="108"/>
      <c r="W48" s="318"/>
      <c r="X48" s="30"/>
      <c r="Y48" s="29"/>
      <c r="Z48" s="29"/>
      <c r="AA48" s="29"/>
      <c r="AB48" s="109"/>
      <c r="AD48" s="86"/>
      <c r="AE48" s="87"/>
      <c r="AG48" s="108"/>
      <c r="AH48" s="30"/>
      <c r="AK48" s="29"/>
      <c r="AL48" s="29"/>
      <c r="AM48" s="109"/>
      <c r="AO48" s="66" t="s">
        <v>271</v>
      </c>
      <c r="AP48" s="65">
        <f t="shared" si="30"/>
        <v>767.89</v>
      </c>
      <c r="AR48" s="108"/>
      <c r="AS48" s="461" t="s">
        <v>198</v>
      </c>
      <c r="AT48" s="882" t="s">
        <v>1121</v>
      </c>
      <c r="AU48" s="878">
        <v>767.89</v>
      </c>
      <c r="AV48" s="29"/>
      <c r="AW48" s="142" t="s">
        <v>1273</v>
      </c>
      <c r="AX48" s="53" t="s">
        <v>1190</v>
      </c>
      <c r="AY48" s="937">
        <v>1709.01</v>
      </c>
      <c r="AZ48" s="109"/>
      <c r="BB48" s="29"/>
      <c r="BC48" s="29"/>
      <c r="BD48" s="131"/>
      <c r="BE48" s="29"/>
      <c r="BF48" s="29"/>
      <c r="BI48" s="108"/>
      <c r="BJ48" s="30"/>
      <c r="BK48" s="29"/>
      <c r="BL48" s="29"/>
      <c r="BM48" s="29"/>
      <c r="BN48" s="71"/>
      <c r="BP48" s="108"/>
      <c r="BQ48" s="145" t="s">
        <v>198</v>
      </c>
      <c r="BR48" s="52" t="str">
        <f t="shared" si="4"/>
        <v>CC PL 01</v>
      </c>
      <c r="BS48" s="30" t="s">
        <v>1079</v>
      </c>
      <c r="BT48" s="29"/>
      <c r="BU48" s="29"/>
      <c r="BV48" s="29" t="s">
        <v>1281</v>
      </c>
      <c r="BW48" s="29" t="s">
        <v>1079</v>
      </c>
      <c r="BX48" s="109"/>
      <c r="BZ48" s="86"/>
      <c r="CA48" s="87"/>
      <c r="CB48" s="29"/>
      <c r="CC48" s="70"/>
      <c r="CD48" s="457"/>
      <c r="CE48" s="502" t="s">
        <v>1</v>
      </c>
      <c r="CF48" s="874">
        <f>ROUNDDOWN(A1_MAG*1.2,2)</f>
        <v>624.31</v>
      </c>
      <c r="CG48" s="29"/>
      <c r="CK48" s="71"/>
      <c r="CL48" s="29"/>
      <c r="CM48" s="29"/>
      <c r="CN48" s="131"/>
      <c r="CO48" s="131"/>
      <c r="CP48" s="131"/>
      <c r="CQ48" s="29"/>
      <c r="CR48" s="29"/>
      <c r="CS48" s="29"/>
      <c r="CT48" s="29"/>
      <c r="CU48" s="67" t="s">
        <v>53</v>
      </c>
      <c r="CV48" s="83">
        <f t="shared" si="33"/>
        <v>1660</v>
      </c>
      <c r="CW48" s="425"/>
      <c r="CX48" s="423"/>
      <c r="CY48" s="480" t="s">
        <v>901</v>
      </c>
      <c r="CZ48" s="528" t="s">
        <v>3</v>
      </c>
      <c r="DA48" s="872">
        <f>ROUNDDOWN(DA$13*0.6,2)</f>
        <v>331.98</v>
      </c>
      <c r="DB48" s="425"/>
      <c r="DF48" s="424"/>
      <c r="DG48" s="425"/>
      <c r="DH48" s="66" t="s">
        <v>271</v>
      </c>
      <c r="DI48" s="65">
        <f t="shared" si="32"/>
        <v>784.1</v>
      </c>
      <c r="DK48" s="108"/>
      <c r="DL48" s="461" t="s">
        <v>198</v>
      </c>
      <c r="DM48" s="462" t="s">
        <v>954</v>
      </c>
      <c r="DN48" s="818">
        <f>VLOOKUP("TV COMISS ASS LEG 04 40H",RHE,10,FALSE)</f>
        <v>784.1</v>
      </c>
      <c r="DO48" s="29"/>
      <c r="DP48" s="461" t="s">
        <v>1273</v>
      </c>
      <c r="DQ48" s="462" t="s">
        <v>527</v>
      </c>
      <c r="DR48" s="806">
        <f>VLOOKUP("TV COMISS ESP SARH 25 30H",RHE,10,FALSE)</f>
        <v>302.2</v>
      </c>
      <c r="DS48" s="109"/>
      <c r="DU48" s="66" t="s">
        <v>271</v>
      </c>
      <c r="DV48" s="65">
        <f t="shared" si="3"/>
        <v>217.02</v>
      </c>
      <c r="DX48" s="108"/>
      <c r="DY48" s="461" t="s">
        <v>197</v>
      </c>
      <c r="DZ48" s="462" t="s">
        <v>1030</v>
      </c>
      <c r="EA48" s="806">
        <f t="shared" si="34"/>
        <v>183.09</v>
      </c>
      <c r="EB48" s="29"/>
      <c r="EC48" s="1316" t="s">
        <v>769</v>
      </c>
      <c r="ED48" s="1317"/>
      <c r="EE48" s="548">
        <f>EE33</f>
        <v>4075.324</v>
      </c>
      <c r="EF48" s="109"/>
      <c r="EH48" s="66" t="s">
        <v>271</v>
      </c>
      <c r="EI48" s="65">
        <f t="shared" si="24"/>
        <v>448.9</v>
      </c>
      <c r="EK48" s="108"/>
      <c r="ES48" s="109"/>
      <c r="EU48" s="108"/>
      <c r="EV48" s="461" t="s">
        <v>1342</v>
      </c>
      <c r="EW48" s="469"/>
      <c r="EX48" s="551" t="s">
        <v>693</v>
      </c>
      <c r="EY48" s="551"/>
      <c r="EZ48" s="553">
        <v>40</v>
      </c>
      <c r="FA48" s="806">
        <f>VLOOKUP("TV COMISS GERAL 14 40H",RHE,10,FALSE)</f>
        <v>202.51</v>
      </c>
      <c r="FB48" s="109"/>
      <c r="FD48" s="86"/>
      <c r="FE48" s="87"/>
      <c r="FG48" s="108"/>
      <c r="FH48" s="131"/>
      <c r="FI48" s="29"/>
      <c r="FJ48" s="29"/>
      <c r="FK48" s="109"/>
      <c r="FN48" s="70"/>
      <c r="FO48" s="557" t="s">
        <v>874</v>
      </c>
      <c r="FP48" s="1379">
        <f>FJ17</f>
        <v>1497.42</v>
      </c>
      <c r="FQ48" s="1379"/>
      <c r="FR48" s="1379">
        <f t="shared" si="35"/>
        <v>524.09</v>
      </c>
      <c r="FS48" s="1379"/>
      <c r="FT48" s="1370">
        <f t="shared" si="36"/>
        <v>2021.5100000000002</v>
      </c>
      <c r="FU48" s="1371"/>
      <c r="FV48" s="29"/>
      <c r="FW48" s="71"/>
    </row>
    <row r="49" spans="1:179" ht="12.75" customHeight="1">
      <c r="A49" s="77"/>
      <c r="B49" s="77"/>
      <c r="C49" s="77"/>
      <c r="D49" s="77"/>
      <c r="E49" s="77"/>
      <c r="F49" s="77"/>
      <c r="H49" s="86"/>
      <c r="I49" s="87"/>
      <c r="K49" s="108"/>
      <c r="L49" s="30"/>
      <c r="M49" s="30"/>
      <c r="N49" s="131"/>
      <c r="O49" s="29"/>
      <c r="P49" s="29"/>
      <c r="Q49" s="109"/>
      <c r="S49" s="86"/>
      <c r="T49" s="87"/>
      <c r="V49" s="108"/>
      <c r="W49" s="318"/>
      <c r="X49" s="30"/>
      <c r="Y49" s="29"/>
      <c r="Z49" s="32"/>
      <c r="AA49" s="29"/>
      <c r="AB49" s="109"/>
      <c r="AD49" s="86"/>
      <c r="AE49" s="87"/>
      <c r="AG49" s="108"/>
      <c r="AH49" s="1288" t="s">
        <v>549</v>
      </c>
      <c r="AI49" s="1289"/>
      <c r="AJ49" s="29" t="s">
        <v>363</v>
      </c>
      <c r="AK49" s="29"/>
      <c r="AL49" s="29"/>
      <c r="AM49" s="109"/>
      <c r="AO49" s="66" t="s">
        <v>272</v>
      </c>
      <c r="AP49" s="65">
        <f t="shared" si="30"/>
        <v>1391.81</v>
      </c>
      <c r="AR49" s="108"/>
      <c r="AS49" s="461" t="s">
        <v>1264</v>
      </c>
      <c r="AT49" s="883" t="s">
        <v>1122</v>
      </c>
      <c r="AU49" s="878">
        <v>1391.81</v>
      </c>
      <c r="AV49" s="29"/>
      <c r="AW49" s="142" t="s">
        <v>1274</v>
      </c>
      <c r="AX49" s="53" t="s">
        <v>1191</v>
      </c>
      <c r="AY49" s="937">
        <v>1512.88</v>
      </c>
      <c r="AZ49" s="109"/>
      <c r="BB49" s="29"/>
      <c r="BC49" s="29"/>
      <c r="BD49" s="131"/>
      <c r="BE49" s="29"/>
      <c r="BF49" s="29"/>
      <c r="BI49" s="108"/>
      <c r="BJ49" s="30"/>
      <c r="BK49" s="29"/>
      <c r="BL49" s="29"/>
      <c r="BM49" s="29"/>
      <c r="BN49" s="71"/>
      <c r="BP49" s="108"/>
      <c r="BQ49" s="145" t="s">
        <v>1264</v>
      </c>
      <c r="BR49" s="52" t="str">
        <f t="shared" si="4"/>
        <v>CC PL 02 </v>
      </c>
      <c r="BS49" s="30" t="s">
        <v>1079</v>
      </c>
      <c r="BT49" s="29"/>
      <c r="BU49" s="29"/>
      <c r="BV49" s="29" t="s">
        <v>1282</v>
      </c>
      <c r="BW49" s="29" t="s">
        <v>1079</v>
      </c>
      <c r="BX49" s="109"/>
      <c r="BZ49" s="86"/>
      <c r="CA49" s="87"/>
      <c r="CB49" s="29"/>
      <c r="CC49" s="70"/>
      <c r="CF49" s="832"/>
      <c r="CG49" s="29"/>
      <c r="CH49" s="1316" t="s">
        <v>906</v>
      </c>
      <c r="CI49" s="1317"/>
      <c r="CJ49" s="901">
        <v>272.65</v>
      </c>
      <c r="CK49" s="71"/>
      <c r="CL49" s="29"/>
      <c r="CM49" s="29"/>
      <c r="CN49" s="29"/>
      <c r="CO49" s="29"/>
      <c r="CP49" s="29"/>
      <c r="CQ49" s="29"/>
      <c r="CR49" s="29"/>
      <c r="CS49" s="29"/>
      <c r="CT49" s="29"/>
      <c r="CU49" s="86"/>
      <c r="CV49" s="87"/>
      <c r="CW49" s="425"/>
      <c r="CX49" s="423"/>
      <c r="CY49" s="458"/>
      <c r="CZ49" s="503" t="s">
        <v>2</v>
      </c>
      <c r="DA49" s="873">
        <f>ROUNDDOWN(DA$13*0.9,2)</f>
        <v>497.97</v>
      </c>
      <c r="DB49" s="425"/>
      <c r="DC49" s="1397"/>
      <c r="DD49" s="1397"/>
      <c r="DE49" s="1397"/>
      <c r="DF49" s="424"/>
      <c r="DG49" s="425"/>
      <c r="DH49" s="66" t="s">
        <v>272</v>
      </c>
      <c r="DI49" s="65">
        <f t="shared" si="32"/>
        <v>1366.55</v>
      </c>
      <c r="DK49" s="108"/>
      <c r="DL49" s="461" t="s">
        <v>1264</v>
      </c>
      <c r="DM49" s="462" t="s">
        <v>955</v>
      </c>
      <c r="DN49" s="818">
        <f>VLOOKUP("TV COMISS ASS LEG 05 40H",RHE,10,FALSE)</f>
        <v>1366.55</v>
      </c>
      <c r="DO49" s="29"/>
      <c r="DP49" s="461" t="s">
        <v>1274</v>
      </c>
      <c r="DQ49" s="462" t="s">
        <v>527</v>
      </c>
      <c r="DR49" s="806">
        <f>VLOOKUP("TV COMISS ESP SARH 26 30H",RHE,10,FALSE)</f>
        <v>339</v>
      </c>
      <c r="DS49" s="109"/>
      <c r="DU49" s="66" t="s">
        <v>272</v>
      </c>
      <c r="DV49" s="65">
        <f t="shared" si="3"/>
        <v>250.11</v>
      </c>
      <c r="DX49" s="108"/>
      <c r="DY49" s="461" t="s">
        <v>198</v>
      </c>
      <c r="DZ49" s="462" t="s">
        <v>1032</v>
      </c>
      <c r="EA49" s="806">
        <f t="shared" si="34"/>
        <v>217.02</v>
      </c>
      <c r="EB49" s="29"/>
      <c r="EC49" s="131"/>
      <c r="ED49" s="29"/>
      <c r="EE49" s="30" t="s">
        <v>1079</v>
      </c>
      <c r="EF49" s="109"/>
      <c r="EH49" s="66" t="s">
        <v>272</v>
      </c>
      <c r="EI49" s="65">
        <f t="shared" si="24"/>
        <v>603.52</v>
      </c>
      <c r="EK49" s="108"/>
      <c r="ES49" s="109"/>
      <c r="EU49" s="108"/>
      <c r="EV49" s="464" t="s">
        <v>1343</v>
      </c>
      <c r="EW49" s="470"/>
      <c r="EX49" s="539" t="s">
        <v>694</v>
      </c>
      <c r="EY49" s="539"/>
      <c r="EZ49" s="555">
        <v>40</v>
      </c>
      <c r="FA49" s="806">
        <f>VLOOKUP("TV COMISS GERAL 16 40H",RHE,10,FALSE)</f>
        <v>317.26</v>
      </c>
      <c r="FB49" s="109"/>
      <c r="FD49" s="86"/>
      <c r="FE49" s="87"/>
      <c r="FG49" s="108"/>
      <c r="FH49" s="131"/>
      <c r="FI49" s="29"/>
      <c r="FJ49" s="29"/>
      <c r="FK49" s="109"/>
      <c r="FN49" s="70"/>
      <c r="FO49" s="557" t="s">
        <v>875</v>
      </c>
      <c r="FP49" s="1379">
        <f>FJ19</f>
        <v>1996.56</v>
      </c>
      <c r="FQ49" s="1379"/>
      <c r="FR49" s="1379">
        <f t="shared" si="35"/>
        <v>698.79</v>
      </c>
      <c r="FS49" s="1379"/>
      <c r="FT49" s="1370">
        <f t="shared" si="36"/>
        <v>2695.35</v>
      </c>
      <c r="FU49" s="1371"/>
      <c r="FV49" s="29"/>
      <c r="FW49" s="71"/>
    </row>
    <row r="50" spans="1:179" ht="12.75" customHeight="1">
      <c r="A50" s="77"/>
      <c r="B50" s="77"/>
      <c r="C50" s="77"/>
      <c r="D50" s="77"/>
      <c r="E50" s="77"/>
      <c r="F50" s="77"/>
      <c r="H50" s="86"/>
      <c r="I50" s="87"/>
      <c r="K50" s="108"/>
      <c r="L50" s="30"/>
      <c r="M50" s="30"/>
      <c r="N50" s="131"/>
      <c r="O50" s="29"/>
      <c r="P50" s="29"/>
      <c r="Q50" s="109"/>
      <c r="S50" s="86"/>
      <c r="T50" s="87"/>
      <c r="V50" s="108"/>
      <c r="W50" s="318"/>
      <c r="X50" s="30"/>
      <c r="Y50" s="29"/>
      <c r="Z50" s="29"/>
      <c r="AA50" s="29"/>
      <c r="AB50" s="109"/>
      <c r="AD50" s="86"/>
      <c r="AE50" s="87"/>
      <c r="AG50" s="108"/>
      <c r="AK50" s="29"/>
      <c r="AL50" s="29"/>
      <c r="AM50" s="109"/>
      <c r="AO50" s="66" t="s">
        <v>273</v>
      </c>
      <c r="AP50" s="65">
        <f t="shared" si="30"/>
        <v>1748.34</v>
      </c>
      <c r="AR50" s="108"/>
      <c r="AS50" s="461" t="s">
        <v>199</v>
      </c>
      <c r="AT50" s="883" t="s">
        <v>1123</v>
      </c>
      <c r="AU50" s="878">
        <v>1748.34</v>
      </c>
      <c r="AV50" s="29"/>
      <c r="AW50" s="142" t="s">
        <v>1275</v>
      </c>
      <c r="AX50" s="53" t="s">
        <v>1192</v>
      </c>
      <c r="AY50" s="874">
        <f>VLOOKUP("TV COMISS GERAL 31 40H",RHE,10,FALSE)</f>
        <v>2054.37</v>
      </c>
      <c r="AZ50" s="109"/>
      <c r="BB50" s="29"/>
      <c r="BC50" s="29"/>
      <c r="BD50" s="131"/>
      <c r="BE50" s="29"/>
      <c r="BF50" s="29"/>
      <c r="BI50" s="108"/>
      <c r="BJ50" s="30"/>
      <c r="BK50" s="29"/>
      <c r="BL50" s="29"/>
      <c r="BM50" s="29"/>
      <c r="BN50" s="71"/>
      <c r="BP50" s="108"/>
      <c r="BQ50" s="145" t="s">
        <v>199</v>
      </c>
      <c r="BR50" s="52" t="str">
        <f t="shared" si="4"/>
        <v>CC PL 03 </v>
      </c>
      <c r="BS50" s="30" t="s">
        <v>1079</v>
      </c>
      <c r="BT50" s="29"/>
      <c r="BU50" s="29"/>
      <c r="BV50" s="29" t="s">
        <v>1283</v>
      </c>
      <c r="BW50" s="29" t="s">
        <v>1079</v>
      </c>
      <c r="BX50" s="109"/>
      <c r="BZ50" s="86"/>
      <c r="CA50" s="87"/>
      <c r="CB50" s="29"/>
      <c r="CC50" s="70"/>
      <c r="CD50" s="480" t="s">
        <v>902</v>
      </c>
      <c r="CE50" s="528" t="s">
        <v>3</v>
      </c>
      <c r="CF50" s="872">
        <f>ROUNDDOWN(A1_MAG*0.8,2)</f>
        <v>416.2</v>
      </c>
      <c r="CG50" s="29"/>
      <c r="CH50" s="1390"/>
      <c r="CI50" s="1390"/>
      <c r="CK50" s="71"/>
      <c r="CL50" s="29"/>
      <c r="CM50" s="29"/>
      <c r="CN50" s="318"/>
      <c r="CO50" s="318"/>
      <c r="CP50" s="131"/>
      <c r="CQ50" s="29"/>
      <c r="CR50" s="111"/>
      <c r="CS50" s="111"/>
      <c r="CT50" s="29"/>
      <c r="CU50" s="86"/>
      <c r="CV50" s="87"/>
      <c r="CW50" s="425"/>
      <c r="CX50" s="423"/>
      <c r="CY50" s="457"/>
      <c r="CZ50" s="502" t="s">
        <v>1</v>
      </c>
      <c r="DA50" s="874">
        <f>ROUNDDOWN(DA$13*1.2,2)</f>
        <v>663.96</v>
      </c>
      <c r="DB50" s="425"/>
      <c r="DC50" s="131"/>
      <c r="DD50" s="1332"/>
      <c r="DE50" s="1332"/>
      <c r="DF50" s="424"/>
      <c r="DG50" s="425"/>
      <c r="DH50" s="66" t="s">
        <v>273</v>
      </c>
      <c r="DI50" s="65">
        <f t="shared" si="32"/>
        <v>1726.65</v>
      </c>
      <c r="DK50" s="108"/>
      <c r="DL50" s="461" t="s">
        <v>199</v>
      </c>
      <c r="DM50" s="462" t="s">
        <v>956</v>
      </c>
      <c r="DN50" s="818">
        <f>VLOOKUP("TV COMISS ASS LEG 06 40H",RHE,10,FALSE)</f>
        <v>1726.65</v>
      </c>
      <c r="DO50" s="29"/>
      <c r="DP50" s="461" t="s">
        <v>1275</v>
      </c>
      <c r="DQ50" s="462" t="s">
        <v>527</v>
      </c>
      <c r="DR50" s="806">
        <f>VLOOKUP("TV COMISS ESP SARH 27 30H",RHE,10,FALSE)</f>
        <v>380.3</v>
      </c>
      <c r="DS50" s="109"/>
      <c r="DU50" s="66" t="s">
        <v>273</v>
      </c>
      <c r="DV50" s="65">
        <f t="shared" si="3"/>
        <v>283.2</v>
      </c>
      <c r="DX50" s="108"/>
      <c r="DY50" s="461" t="s">
        <v>1264</v>
      </c>
      <c r="DZ50" s="462" t="s">
        <v>1033</v>
      </c>
      <c r="EA50" s="806">
        <f t="shared" si="34"/>
        <v>250.11</v>
      </c>
      <c r="EB50" s="29"/>
      <c r="EC50" s="1316" t="s">
        <v>770</v>
      </c>
      <c r="ED50" s="1317"/>
      <c r="EE50" s="548">
        <f>FJ23*1.35</f>
        <v>4043.0340000000006</v>
      </c>
      <c r="EF50" s="109"/>
      <c r="EH50" s="66" t="s">
        <v>273</v>
      </c>
      <c r="EI50" s="65">
        <f t="shared" si="24"/>
        <v>334.18</v>
      </c>
      <c r="EK50" s="108"/>
      <c r="ES50" s="109"/>
      <c r="EU50" s="108"/>
      <c r="EV50" s="30"/>
      <c r="EW50" s="30"/>
      <c r="EX50" s="30"/>
      <c r="EY50" s="30"/>
      <c r="EZ50" s="314"/>
      <c r="FA50" s="29"/>
      <c r="FB50" s="109"/>
      <c r="FD50" s="86"/>
      <c r="FE50" s="87"/>
      <c r="FG50" s="108"/>
      <c r="FH50" s="131"/>
      <c r="FI50" s="29"/>
      <c r="FJ50" s="29"/>
      <c r="FK50" s="109"/>
      <c r="FN50" s="70"/>
      <c r="FO50" s="557" t="s">
        <v>876</v>
      </c>
      <c r="FP50" s="1379">
        <f>FJ21</f>
        <v>2495.7</v>
      </c>
      <c r="FQ50" s="1379"/>
      <c r="FR50" s="1379">
        <f t="shared" si="35"/>
        <v>873.49</v>
      </c>
      <c r="FS50" s="1379"/>
      <c r="FT50" s="1370">
        <f t="shared" si="36"/>
        <v>3369.1899999999996</v>
      </c>
      <c r="FU50" s="1371"/>
      <c r="FV50" s="29"/>
      <c r="FW50" s="71"/>
    </row>
    <row r="51" spans="1:179" ht="12.75" customHeight="1">
      <c r="A51" s="77"/>
      <c r="B51" s="77"/>
      <c r="C51" s="77"/>
      <c r="D51" s="77"/>
      <c r="E51" s="77"/>
      <c r="F51" s="77"/>
      <c r="H51" s="86"/>
      <c r="I51" s="87"/>
      <c r="K51" s="108"/>
      <c r="L51" s="30"/>
      <c r="M51" s="30"/>
      <c r="N51" s="131"/>
      <c r="O51" s="29"/>
      <c r="P51" s="29"/>
      <c r="Q51" s="109"/>
      <c r="S51" s="86"/>
      <c r="T51" s="87"/>
      <c r="V51" s="108"/>
      <c r="W51" s="318"/>
      <c r="X51" s="30"/>
      <c r="Y51" s="29"/>
      <c r="Z51" s="29"/>
      <c r="AA51" s="29"/>
      <c r="AB51" s="109"/>
      <c r="AD51" s="86"/>
      <c r="AE51" s="87"/>
      <c r="AG51" s="108"/>
      <c r="AH51" s="1288" t="s">
        <v>550</v>
      </c>
      <c r="AI51" s="1289"/>
      <c r="AJ51" s="29" t="s">
        <v>366</v>
      </c>
      <c r="AK51" s="29"/>
      <c r="AL51" s="29"/>
      <c r="AM51" s="109"/>
      <c r="AO51" s="66" t="s">
        <v>813</v>
      </c>
      <c r="AP51" s="65">
        <f t="shared" si="30"/>
        <v>2106.28</v>
      </c>
      <c r="AR51" s="108"/>
      <c r="AS51" s="461" t="s">
        <v>200</v>
      </c>
      <c r="AT51" s="883" t="s">
        <v>1124</v>
      </c>
      <c r="AU51" s="878">
        <v>2106.28</v>
      </c>
      <c r="AV51" s="29"/>
      <c r="AW51" s="143" t="s">
        <v>1276</v>
      </c>
      <c r="AX51" s="54" t="s">
        <v>1193</v>
      </c>
      <c r="AY51" s="939">
        <v>4840.64</v>
      </c>
      <c r="AZ51" s="109"/>
      <c r="BB51" s="29"/>
      <c r="BC51" s="29"/>
      <c r="BD51" s="131"/>
      <c r="BE51" s="29"/>
      <c r="BF51" s="29"/>
      <c r="BI51" s="108"/>
      <c r="BJ51" s="30"/>
      <c r="BK51" s="29"/>
      <c r="BL51" s="29"/>
      <c r="BM51" s="29"/>
      <c r="BN51" s="71"/>
      <c r="BP51" s="108"/>
      <c r="BQ51" s="145" t="s">
        <v>200</v>
      </c>
      <c r="BR51" s="52" t="str">
        <f t="shared" si="4"/>
        <v>CC PL 04 </v>
      </c>
      <c r="BS51" s="30" t="s">
        <v>1079</v>
      </c>
      <c r="BT51" s="29"/>
      <c r="BU51" s="29"/>
      <c r="BV51" s="29" t="s">
        <v>1285</v>
      </c>
      <c r="BW51" s="29" t="s">
        <v>1079</v>
      </c>
      <c r="BX51" s="109"/>
      <c r="BZ51" s="86"/>
      <c r="CA51" s="87"/>
      <c r="CB51" s="29"/>
      <c r="CC51" s="70"/>
      <c r="CD51" s="458"/>
      <c r="CE51" s="503" t="s">
        <v>2</v>
      </c>
      <c r="CF51" s="873">
        <f>ROUNDDOWN(A1_MAG*1.2,2)</f>
        <v>624.31</v>
      </c>
      <c r="CG51" s="29"/>
      <c r="CK51" s="71"/>
      <c r="CL51" s="29"/>
      <c r="CM51" s="29"/>
      <c r="CN51" s="131"/>
      <c r="CO51" s="131"/>
      <c r="CP51" s="131"/>
      <c r="CQ51" s="29"/>
      <c r="CR51" s="29"/>
      <c r="CS51" s="29"/>
      <c r="CT51" s="29"/>
      <c r="CU51" s="86"/>
      <c r="CV51" s="87"/>
      <c r="CW51" s="425"/>
      <c r="CX51" s="423"/>
      <c r="CY51" s="409"/>
      <c r="CZ51" s="409"/>
      <c r="DA51" s="924"/>
      <c r="DB51" s="425"/>
      <c r="DC51" s="131"/>
      <c r="DD51" s="1332"/>
      <c r="DE51" s="1332"/>
      <c r="DF51" s="424"/>
      <c r="DG51" s="425"/>
      <c r="DH51" s="66" t="s">
        <v>813</v>
      </c>
      <c r="DI51" s="65">
        <f t="shared" si="32"/>
        <v>1844.87</v>
      </c>
      <c r="DK51" s="108"/>
      <c r="DL51" s="461" t="s">
        <v>200</v>
      </c>
      <c r="DM51" s="462" t="s">
        <v>957</v>
      </c>
      <c r="DN51" s="818">
        <f>VLOOKUP("TV COMISS ASS LEG 07 40H",RHE,10,FALSE)</f>
        <v>1844.87</v>
      </c>
      <c r="DO51" s="29"/>
      <c r="DP51" s="464" t="s">
        <v>1276</v>
      </c>
      <c r="DQ51" s="465" t="s">
        <v>527</v>
      </c>
      <c r="DR51" s="820">
        <f>VLOOKUP("TV COMISS ESP SARH 28 30H",RHE,10,FALSE)</f>
        <v>426.9</v>
      </c>
      <c r="DS51" s="109"/>
      <c r="DU51" s="66" t="s">
        <v>813</v>
      </c>
      <c r="DV51" s="65">
        <f t="shared" si="3"/>
        <v>443.87</v>
      </c>
      <c r="DX51" s="108"/>
      <c r="DY51" s="461" t="s">
        <v>199</v>
      </c>
      <c r="DZ51" s="462" t="s">
        <v>1034</v>
      </c>
      <c r="EA51" s="806">
        <f t="shared" si="34"/>
        <v>283.2</v>
      </c>
      <c r="EB51" s="29"/>
      <c r="EF51" s="109"/>
      <c r="EH51" s="66" t="s">
        <v>813</v>
      </c>
      <c r="EI51" s="65">
        <f t="shared" si="24"/>
        <v>498.78</v>
      </c>
      <c r="EK51" s="108"/>
      <c r="EL51" s="170"/>
      <c r="EM51" s="112"/>
      <c r="EN51" s="112"/>
      <c r="EO51" s="170"/>
      <c r="EP51" s="124"/>
      <c r="EQ51" s="174"/>
      <c r="ER51" s="30"/>
      <c r="ES51" s="109"/>
      <c r="EU51" s="108"/>
      <c r="EV51" s="30"/>
      <c r="EW51" s="30"/>
      <c r="EX51" s="30"/>
      <c r="EY51" s="30"/>
      <c r="EZ51" s="314"/>
      <c r="FA51" s="29"/>
      <c r="FB51" s="109"/>
      <c r="FD51" s="86"/>
      <c r="FE51" s="87"/>
      <c r="FG51" s="108"/>
      <c r="FH51" s="131"/>
      <c r="FI51" s="29"/>
      <c r="FJ51" s="29"/>
      <c r="FK51" s="109"/>
      <c r="FN51" s="70"/>
      <c r="FO51" s="538" t="s">
        <v>877</v>
      </c>
      <c r="FP51" s="1382">
        <f>FJ23</f>
        <v>2994.84</v>
      </c>
      <c r="FQ51" s="1382"/>
      <c r="FR51" s="1382">
        <f t="shared" si="35"/>
        <v>1048.19</v>
      </c>
      <c r="FS51" s="1382"/>
      <c r="FT51" s="1383">
        <f t="shared" si="36"/>
        <v>4043.03</v>
      </c>
      <c r="FU51" s="1384"/>
      <c r="FV51" s="29"/>
      <c r="FW51" s="71"/>
    </row>
    <row r="52" spans="6:179" ht="12.75" customHeight="1">
      <c r="F52" s="77"/>
      <c r="H52" s="86"/>
      <c r="I52" s="87"/>
      <c r="K52" s="108"/>
      <c r="L52" s="30"/>
      <c r="M52" s="30"/>
      <c r="N52" s="131"/>
      <c r="O52" s="29"/>
      <c r="P52" s="29"/>
      <c r="Q52" s="109"/>
      <c r="S52" s="86"/>
      <c r="T52" s="87"/>
      <c r="V52" s="108"/>
      <c r="W52" s="318"/>
      <c r="X52" s="30"/>
      <c r="Y52" s="29"/>
      <c r="Z52" s="29"/>
      <c r="AA52" s="29"/>
      <c r="AB52" s="109"/>
      <c r="AD52" s="86"/>
      <c r="AE52" s="87"/>
      <c r="AG52" s="108"/>
      <c r="AK52" s="29"/>
      <c r="AL52" s="29"/>
      <c r="AM52" s="109"/>
      <c r="AO52" s="66" t="s">
        <v>814</v>
      </c>
      <c r="AP52" s="65">
        <f t="shared" si="30"/>
        <v>2464.09</v>
      </c>
      <c r="AR52" s="108"/>
      <c r="AS52" s="461" t="s">
        <v>201</v>
      </c>
      <c r="AT52" s="883" t="s">
        <v>1125</v>
      </c>
      <c r="AU52" s="878">
        <v>2464.09</v>
      </c>
      <c r="AV52" s="29"/>
      <c r="AZ52" s="109"/>
      <c r="BB52" s="29"/>
      <c r="BC52" s="29"/>
      <c r="BD52" s="131"/>
      <c r="BE52" s="29"/>
      <c r="BF52" s="29"/>
      <c r="BI52" s="108"/>
      <c r="BJ52" s="30"/>
      <c r="BK52" s="29"/>
      <c r="BL52" s="29"/>
      <c r="BM52" s="29"/>
      <c r="BN52" s="71"/>
      <c r="BP52" s="108"/>
      <c r="BQ52" s="145" t="s">
        <v>201</v>
      </c>
      <c r="BR52" s="52" t="str">
        <f t="shared" si="4"/>
        <v>CC PL 05</v>
      </c>
      <c r="BS52" s="30" t="s">
        <v>1079</v>
      </c>
      <c r="BT52" s="29"/>
      <c r="BU52" s="29"/>
      <c r="BV52" s="29" t="s">
        <v>1262</v>
      </c>
      <c r="BW52" s="29" t="s">
        <v>1079</v>
      </c>
      <c r="BX52" s="109"/>
      <c r="BZ52" s="86"/>
      <c r="CA52" s="87"/>
      <c r="CB52" s="29"/>
      <c r="CC52" s="70"/>
      <c r="CD52" s="457"/>
      <c r="CE52" s="502" t="s">
        <v>1</v>
      </c>
      <c r="CF52" s="874">
        <f>ROUNDDOWN(A1_MAG*1.6,2)</f>
        <v>832.41</v>
      </c>
      <c r="CG52" s="29"/>
      <c r="CH52" s="111"/>
      <c r="CI52" s="111"/>
      <c r="CJ52" s="111"/>
      <c r="CK52" s="71"/>
      <c r="CL52" s="29"/>
      <c r="CM52" s="29"/>
      <c r="CN52" s="131"/>
      <c r="CO52" s="131"/>
      <c r="CP52" s="131"/>
      <c r="CQ52" s="29"/>
      <c r="CR52" s="111"/>
      <c r="CS52" s="111"/>
      <c r="CT52" s="29"/>
      <c r="CU52" s="86"/>
      <c r="CV52" s="87"/>
      <c r="CW52" s="425"/>
      <c r="CX52" s="423"/>
      <c r="CY52" s="480" t="s">
        <v>902</v>
      </c>
      <c r="CZ52" s="528" t="s">
        <v>3</v>
      </c>
      <c r="DA52" s="872">
        <f>ROUNDDOWN(DA$13*0.8,2)</f>
        <v>442.64</v>
      </c>
      <c r="DB52" s="425"/>
      <c r="DC52" s="131"/>
      <c r="DD52" s="1332"/>
      <c r="DE52" s="1332"/>
      <c r="DF52" s="424"/>
      <c r="DG52" s="425"/>
      <c r="DH52" s="66" t="s">
        <v>814</v>
      </c>
      <c r="DI52" s="65">
        <f t="shared" si="32"/>
        <v>2049.85</v>
      </c>
      <c r="DK52" s="108"/>
      <c r="DL52" s="461" t="s">
        <v>201</v>
      </c>
      <c r="DM52" s="462" t="s">
        <v>958</v>
      </c>
      <c r="DN52" s="818">
        <f>VLOOKUP("TV COMISS ASS LEG 08 40H",RHE,10,FALSE)</f>
        <v>2049.85</v>
      </c>
      <c r="DO52" s="29"/>
      <c r="DS52" s="109"/>
      <c r="DU52" s="66" t="s">
        <v>814</v>
      </c>
      <c r="DV52" s="65">
        <f t="shared" si="3"/>
        <v>610.89</v>
      </c>
      <c r="DX52" s="108"/>
      <c r="DY52" s="461" t="s">
        <v>200</v>
      </c>
      <c r="DZ52" s="462" t="s">
        <v>1035</v>
      </c>
      <c r="EA52" s="806">
        <f t="shared" si="34"/>
        <v>443.87</v>
      </c>
      <c r="EB52" s="29"/>
      <c r="EF52" s="109"/>
      <c r="EH52" s="66" t="s">
        <v>814</v>
      </c>
      <c r="EI52" s="65">
        <f t="shared" si="24"/>
        <v>663.37</v>
      </c>
      <c r="EK52" s="108"/>
      <c r="EL52" s="170"/>
      <c r="EM52" s="112"/>
      <c r="EN52" s="112"/>
      <c r="EO52" s="170"/>
      <c r="EP52" s="124"/>
      <c r="EQ52" s="174"/>
      <c r="ER52" s="30"/>
      <c r="ES52" s="109"/>
      <c r="EU52" s="108"/>
      <c r="EV52" s="30"/>
      <c r="EW52" s="30"/>
      <c r="EX52" s="30"/>
      <c r="EY52" s="30"/>
      <c r="EZ52" s="314"/>
      <c r="FA52" s="29"/>
      <c r="FB52" s="109"/>
      <c r="FD52" s="86"/>
      <c r="FE52" s="87"/>
      <c r="FG52" s="108"/>
      <c r="FH52" s="131"/>
      <c r="FI52" s="29"/>
      <c r="FJ52" s="29"/>
      <c r="FK52" s="109"/>
      <c r="FN52" s="70"/>
      <c r="FO52" s="29"/>
      <c r="FP52" s="1381"/>
      <c r="FQ52" s="1381"/>
      <c r="FR52" s="1385"/>
      <c r="FS52" s="1385"/>
      <c r="FT52" s="1381"/>
      <c r="FU52" s="1381"/>
      <c r="FV52" s="29"/>
      <c r="FW52" s="71"/>
    </row>
    <row r="53" spans="6:179" ht="12.75" customHeight="1">
      <c r="F53" s="77"/>
      <c r="H53" s="86"/>
      <c r="I53" s="87"/>
      <c r="K53" s="108"/>
      <c r="L53" s="30"/>
      <c r="M53" s="30"/>
      <c r="N53" s="131"/>
      <c r="O53" s="29"/>
      <c r="P53" s="29"/>
      <c r="Q53" s="109"/>
      <c r="S53" s="86"/>
      <c r="T53" s="87"/>
      <c r="V53" s="108"/>
      <c r="W53" s="318"/>
      <c r="X53" s="30"/>
      <c r="Y53" s="29"/>
      <c r="Z53" s="29"/>
      <c r="AA53" s="29"/>
      <c r="AB53" s="109"/>
      <c r="AD53" s="86"/>
      <c r="AE53" s="87"/>
      <c r="AG53" s="108"/>
      <c r="AH53" s="1184" t="s">
        <v>558</v>
      </c>
      <c r="AI53" s="1186"/>
      <c r="AJ53" s="31" t="s">
        <v>556</v>
      </c>
      <c r="AK53" s="29"/>
      <c r="AL53" s="29"/>
      <c r="AM53" s="109"/>
      <c r="AO53" s="66" t="s">
        <v>815</v>
      </c>
      <c r="AP53" s="65">
        <f t="shared" si="30"/>
        <v>2772.73</v>
      </c>
      <c r="AR53" s="108"/>
      <c r="AS53" s="461" t="s">
        <v>202</v>
      </c>
      <c r="AT53" s="883" t="s">
        <v>1126</v>
      </c>
      <c r="AU53" s="878">
        <v>2772.73</v>
      </c>
      <c r="AV53" s="29"/>
      <c r="AW53" s="1184" t="s">
        <v>1203</v>
      </c>
      <c r="AX53" s="1185"/>
      <c r="AY53" s="1186"/>
      <c r="AZ53" s="109"/>
      <c r="BB53" s="29"/>
      <c r="BC53" s="29"/>
      <c r="BD53" s="131"/>
      <c r="BE53" s="29"/>
      <c r="BF53" s="29"/>
      <c r="BI53" s="108"/>
      <c r="BJ53" s="30"/>
      <c r="BK53" s="29"/>
      <c r="BL53" s="29"/>
      <c r="BM53" s="29"/>
      <c r="BN53" s="71"/>
      <c r="BP53" s="108"/>
      <c r="BQ53" s="145" t="s">
        <v>202</v>
      </c>
      <c r="BR53" s="52" t="str">
        <f t="shared" si="4"/>
        <v>CC PL 06</v>
      </c>
      <c r="BS53" s="30" t="s">
        <v>1079</v>
      </c>
      <c r="BT53" s="29"/>
      <c r="BU53" s="29"/>
      <c r="BV53" s="29" t="s">
        <v>1263</v>
      </c>
      <c r="BW53" s="29" t="s">
        <v>1079</v>
      </c>
      <c r="BX53" s="109"/>
      <c r="BZ53" s="86"/>
      <c r="CA53" s="87"/>
      <c r="CB53" s="29"/>
      <c r="CC53" s="70"/>
      <c r="CF53" s="832"/>
      <c r="CG53" s="29"/>
      <c r="CH53" s="131"/>
      <c r="CI53" s="131"/>
      <c r="CJ53" s="131"/>
      <c r="CK53" s="71"/>
      <c r="CL53" s="29"/>
      <c r="CM53" s="29"/>
      <c r="CN53" s="29"/>
      <c r="CO53" s="29"/>
      <c r="CP53" s="29"/>
      <c r="CQ53" s="29"/>
      <c r="CR53" s="131"/>
      <c r="CS53" s="29"/>
      <c r="CT53" s="29"/>
      <c r="CU53" s="86"/>
      <c r="CV53" s="87"/>
      <c r="CW53" s="425"/>
      <c r="CX53" s="423"/>
      <c r="CY53" s="458"/>
      <c r="CZ53" s="503" t="s">
        <v>2</v>
      </c>
      <c r="DA53" s="873">
        <f>ROUNDDOWN(DA$13*1.2,2)</f>
        <v>663.96</v>
      </c>
      <c r="DB53" s="425"/>
      <c r="DC53" s="131"/>
      <c r="DD53" s="1331"/>
      <c r="DE53" s="1331"/>
      <c r="DF53" s="424"/>
      <c r="DG53" s="425"/>
      <c r="DH53" s="66" t="s">
        <v>815</v>
      </c>
      <c r="DI53" s="65">
        <f t="shared" si="32"/>
        <v>2676.32</v>
      </c>
      <c r="DK53" s="108"/>
      <c r="DL53" s="461" t="s">
        <v>202</v>
      </c>
      <c r="DM53" s="462" t="s">
        <v>959</v>
      </c>
      <c r="DN53" s="818">
        <f>VLOOKUP("TV COMISS ASS LEG 09 40H",RHE,10,FALSE)</f>
        <v>2676.32</v>
      </c>
      <c r="DO53" s="29"/>
      <c r="DP53" s="1184" t="s">
        <v>911</v>
      </c>
      <c r="DQ53" s="1185"/>
      <c r="DR53" s="1186"/>
      <c r="DS53" s="109"/>
      <c r="DU53" s="66" t="s">
        <v>815</v>
      </c>
      <c r="DV53" s="65">
        <f t="shared" si="3"/>
        <v>698.78</v>
      </c>
      <c r="DX53" s="108"/>
      <c r="DY53" s="461" t="s">
        <v>201</v>
      </c>
      <c r="DZ53" s="462" t="s">
        <v>1036</v>
      </c>
      <c r="EA53" s="806">
        <f t="shared" si="34"/>
        <v>610.89</v>
      </c>
      <c r="EB53" s="29"/>
      <c r="EC53" s="1398" t="s">
        <v>427</v>
      </c>
      <c r="ED53" s="1399"/>
      <c r="EE53" s="1400"/>
      <c r="EF53" s="109"/>
      <c r="EH53" s="66" t="s">
        <v>815</v>
      </c>
      <c r="EI53" s="65">
        <f aca="true" t="shared" si="37" ref="EI53:EI60">FA42</f>
        <v>69.9</v>
      </c>
      <c r="EK53" s="108"/>
      <c r="EL53" s="170"/>
      <c r="EM53" s="112"/>
      <c r="EN53" s="112"/>
      <c r="EO53" s="170"/>
      <c r="EP53" s="124"/>
      <c r="EQ53" s="174"/>
      <c r="ER53" s="30"/>
      <c r="ES53" s="109"/>
      <c r="EU53" s="108"/>
      <c r="EV53" s="30"/>
      <c r="EW53" s="30"/>
      <c r="EX53" s="30"/>
      <c r="EY53" s="30"/>
      <c r="EZ53" s="314"/>
      <c r="FA53" s="29"/>
      <c r="FB53" s="109"/>
      <c r="FD53" s="86"/>
      <c r="FE53" s="87"/>
      <c r="FG53" s="108"/>
      <c r="FH53" s="131"/>
      <c r="FI53" s="29"/>
      <c r="FJ53" s="29"/>
      <c r="FK53" s="109"/>
      <c r="FN53" s="70"/>
      <c r="FO53" s="29"/>
      <c r="FP53" s="29"/>
      <c r="FQ53" s="29"/>
      <c r="FR53" s="131"/>
      <c r="FS53" s="29"/>
      <c r="FT53" s="29"/>
      <c r="FU53" s="29"/>
      <c r="FV53" s="29"/>
      <c r="FW53" s="71"/>
    </row>
    <row r="54" spans="6:179" ht="12.75" customHeight="1">
      <c r="F54" s="77"/>
      <c r="H54" s="86"/>
      <c r="I54" s="87"/>
      <c r="K54" s="108"/>
      <c r="L54" s="30"/>
      <c r="M54" s="30"/>
      <c r="N54" s="131"/>
      <c r="O54" s="29"/>
      <c r="P54" s="29"/>
      <c r="Q54" s="109"/>
      <c r="S54" s="86"/>
      <c r="T54" s="87"/>
      <c r="V54" s="108"/>
      <c r="W54" s="318"/>
      <c r="X54" s="30"/>
      <c r="Y54" s="29"/>
      <c r="Z54" s="29"/>
      <c r="AA54" s="29"/>
      <c r="AB54" s="109"/>
      <c r="AD54" s="86"/>
      <c r="AE54" s="87"/>
      <c r="AG54" s="70"/>
      <c r="AH54" s="29"/>
      <c r="AI54" s="29"/>
      <c r="AJ54" s="29" t="s">
        <v>557</v>
      </c>
      <c r="AK54" s="29"/>
      <c r="AL54" s="29"/>
      <c r="AM54" s="109"/>
      <c r="AO54" s="66" t="s">
        <v>816</v>
      </c>
      <c r="AP54" s="65">
        <f t="shared" si="30"/>
        <v>3007.86</v>
      </c>
      <c r="AR54" s="108"/>
      <c r="AS54" s="461" t="s">
        <v>203</v>
      </c>
      <c r="AT54" s="883" t="s">
        <v>1127</v>
      </c>
      <c r="AU54" s="878">
        <v>3007.86</v>
      </c>
      <c r="AV54" s="29"/>
      <c r="AW54" s="156" t="s">
        <v>1204</v>
      </c>
      <c r="AX54" s="157"/>
      <c r="AY54" s="158"/>
      <c r="AZ54" s="109"/>
      <c r="BB54" s="29"/>
      <c r="BC54" s="29"/>
      <c r="BD54" s="131"/>
      <c r="BE54" s="29"/>
      <c r="BF54" s="29"/>
      <c r="BI54" s="108"/>
      <c r="BJ54" s="30"/>
      <c r="BK54" s="29"/>
      <c r="BL54" s="29"/>
      <c r="BM54" s="29"/>
      <c r="BN54" s="71"/>
      <c r="BP54" s="108"/>
      <c r="BQ54" s="145" t="s">
        <v>203</v>
      </c>
      <c r="BR54" s="52" t="str">
        <f t="shared" si="4"/>
        <v>CC PL 07 </v>
      </c>
      <c r="BS54" s="30" t="s">
        <v>1079</v>
      </c>
      <c r="BT54" s="29"/>
      <c r="BU54" s="29"/>
      <c r="BV54" s="29"/>
      <c r="BW54" s="29"/>
      <c r="BX54" s="109"/>
      <c r="BZ54" s="86"/>
      <c r="CA54" s="87"/>
      <c r="CB54" s="29"/>
      <c r="CC54" s="70"/>
      <c r="CD54" s="480" t="s">
        <v>903</v>
      </c>
      <c r="CE54" s="528" t="s">
        <v>3</v>
      </c>
      <c r="CF54" s="872">
        <f>ROUNDDOWN(A1_MAG,2)</f>
        <v>520.26</v>
      </c>
      <c r="CG54" s="29"/>
      <c r="CH54" s="131"/>
      <c r="CI54" s="131"/>
      <c r="CJ54" s="131"/>
      <c r="CK54" s="71"/>
      <c r="CL54" s="29"/>
      <c r="CM54" s="29"/>
      <c r="CN54" s="318"/>
      <c r="CO54" s="318"/>
      <c r="CP54" s="131"/>
      <c r="CQ54" s="29"/>
      <c r="CR54" s="131"/>
      <c r="CS54" s="29"/>
      <c r="CT54" s="29"/>
      <c r="CU54" s="86"/>
      <c r="CV54" s="87"/>
      <c r="CW54" s="425"/>
      <c r="CX54" s="423"/>
      <c r="CY54" s="457"/>
      <c r="CZ54" s="502" t="s">
        <v>1</v>
      </c>
      <c r="DA54" s="874">
        <f>ROUNDDOWN(DA$13*1.6,2)</f>
        <v>885.28</v>
      </c>
      <c r="DB54" s="425"/>
      <c r="DC54" s="131"/>
      <c r="DD54" s="1331"/>
      <c r="DE54" s="1331"/>
      <c r="DF54" s="424"/>
      <c r="DG54" s="425"/>
      <c r="DH54" s="66" t="s">
        <v>816</v>
      </c>
      <c r="DI54" s="65">
        <f t="shared" si="32"/>
        <v>3007.27</v>
      </c>
      <c r="DK54" s="108"/>
      <c r="DL54" s="461" t="s">
        <v>203</v>
      </c>
      <c r="DM54" s="462" t="s">
        <v>960</v>
      </c>
      <c r="DN54" s="818">
        <f>VLOOKUP("TV COMISS ASS LEG 10 40H",RHE,10,FALSE)</f>
        <v>3007.27</v>
      </c>
      <c r="DO54" s="29"/>
      <c r="DP54" s="516" t="s">
        <v>912</v>
      </c>
      <c r="DQ54" s="517"/>
      <c r="DR54" s="518"/>
      <c r="DS54" s="109"/>
      <c r="DU54" s="66" t="s">
        <v>816</v>
      </c>
      <c r="DV54" s="65">
        <f t="shared" si="3"/>
        <v>777.67</v>
      </c>
      <c r="DX54" s="108"/>
      <c r="DY54" s="461" t="s">
        <v>202</v>
      </c>
      <c r="DZ54" s="462" t="s">
        <v>1037</v>
      </c>
      <c r="EA54" s="806">
        <f t="shared" si="34"/>
        <v>698.78</v>
      </c>
      <c r="EB54" s="29"/>
      <c r="EC54" s="1404"/>
      <c r="ED54" s="1405"/>
      <c r="EE54" s="1406"/>
      <c r="EF54" s="109"/>
      <c r="EH54" s="66" t="s">
        <v>816</v>
      </c>
      <c r="EI54" s="65">
        <f t="shared" si="37"/>
        <v>83.69</v>
      </c>
      <c r="EK54" s="108"/>
      <c r="EL54" s="170"/>
      <c r="EM54" s="112"/>
      <c r="EN54" s="112"/>
      <c r="EO54" s="170"/>
      <c r="EP54" s="124"/>
      <c r="EQ54" s="174"/>
      <c r="ER54" s="30"/>
      <c r="ES54" s="109"/>
      <c r="EU54" s="108"/>
      <c r="EV54" s="30"/>
      <c r="EW54" s="30"/>
      <c r="EX54" s="30"/>
      <c r="EY54" s="30"/>
      <c r="EZ54" s="314"/>
      <c r="FA54" s="29"/>
      <c r="FB54" s="109"/>
      <c r="FD54" s="86"/>
      <c r="FE54" s="87"/>
      <c r="FG54" s="108"/>
      <c r="FH54" s="131"/>
      <c r="FI54" s="29"/>
      <c r="FJ54" s="29"/>
      <c r="FK54" s="109"/>
      <c r="FN54" s="70"/>
      <c r="FO54" s="29"/>
      <c r="FP54" s="29"/>
      <c r="FQ54" s="29"/>
      <c r="FR54" s="131"/>
      <c r="FS54" s="29"/>
      <c r="FT54" s="29"/>
      <c r="FU54" s="29"/>
      <c r="FV54" s="29"/>
      <c r="FW54" s="71"/>
    </row>
    <row r="55" spans="8:179" ht="12">
      <c r="H55" s="86"/>
      <c r="I55" s="87"/>
      <c r="K55" s="108"/>
      <c r="L55" s="30"/>
      <c r="M55" s="30"/>
      <c r="N55" s="131"/>
      <c r="O55" s="29"/>
      <c r="P55" s="29"/>
      <c r="Q55" s="109"/>
      <c r="S55" s="86"/>
      <c r="T55" s="87"/>
      <c r="V55" s="108"/>
      <c r="W55" s="318"/>
      <c r="X55" s="30"/>
      <c r="Y55" s="29"/>
      <c r="Z55" s="29"/>
      <c r="AA55" s="29"/>
      <c r="AB55" s="109"/>
      <c r="AD55" s="86"/>
      <c r="AE55" s="87"/>
      <c r="AG55" s="108"/>
      <c r="AJ55" s="29" t="s">
        <v>438</v>
      </c>
      <c r="AK55" s="29"/>
      <c r="AL55" s="29"/>
      <c r="AM55" s="109"/>
      <c r="AO55" s="66" t="s">
        <v>817</v>
      </c>
      <c r="AP55" s="65">
        <f t="shared" si="30"/>
        <v>3344.02</v>
      </c>
      <c r="AR55" s="108"/>
      <c r="AS55" s="461" t="s">
        <v>204</v>
      </c>
      <c r="AT55" s="883" t="s">
        <v>1128</v>
      </c>
      <c r="AU55" s="878">
        <v>3344.02</v>
      </c>
      <c r="AV55" s="29"/>
      <c r="AW55" s="150" t="s">
        <v>1205</v>
      </c>
      <c r="AX55" s="151"/>
      <c r="AY55" s="152"/>
      <c r="AZ55" s="109"/>
      <c r="BB55" s="29"/>
      <c r="BC55" s="29"/>
      <c r="BD55" s="131"/>
      <c r="BE55" s="29"/>
      <c r="BF55" s="29"/>
      <c r="BI55" s="108"/>
      <c r="BJ55" s="30"/>
      <c r="BK55" s="29"/>
      <c r="BL55" s="29"/>
      <c r="BM55" s="29"/>
      <c r="BN55" s="71"/>
      <c r="BP55" s="108"/>
      <c r="BQ55" s="145" t="s">
        <v>204</v>
      </c>
      <c r="BR55" s="52" t="str">
        <f t="shared" si="4"/>
        <v>CC PL 08 </v>
      </c>
      <c r="BS55" s="30" t="s">
        <v>1079</v>
      </c>
      <c r="BT55" s="29"/>
      <c r="BU55" s="29"/>
      <c r="BV55" s="29"/>
      <c r="BW55" s="29"/>
      <c r="BX55" s="109"/>
      <c r="BZ55" s="86"/>
      <c r="CA55" s="87"/>
      <c r="CB55" s="29"/>
      <c r="CC55" s="70"/>
      <c r="CD55" s="540"/>
      <c r="CE55" s="503" t="s">
        <v>2</v>
      </c>
      <c r="CF55" s="873">
        <f>ROUNDDOWN(A1_MAG*1.5,2)</f>
        <v>780.39</v>
      </c>
      <c r="CG55" s="29"/>
      <c r="CH55" s="131"/>
      <c r="CI55" s="131"/>
      <c r="CJ55" s="131"/>
      <c r="CK55" s="71"/>
      <c r="CL55" s="29"/>
      <c r="CM55" s="29"/>
      <c r="CN55" s="29"/>
      <c r="CO55" s="29"/>
      <c r="CP55" s="131"/>
      <c r="CQ55" s="29"/>
      <c r="CR55" s="131"/>
      <c r="CS55" s="29"/>
      <c r="CT55" s="29"/>
      <c r="CU55" s="86"/>
      <c r="CV55" s="87"/>
      <c r="CW55" s="425"/>
      <c r="CX55" s="423"/>
      <c r="CY55" s="409"/>
      <c r="CZ55" s="409"/>
      <c r="DA55" s="924"/>
      <c r="DB55" s="425"/>
      <c r="DC55" s="131"/>
      <c r="DD55" s="1331"/>
      <c r="DE55" s="1331"/>
      <c r="DF55" s="424"/>
      <c r="DG55" s="425"/>
      <c r="DH55" s="66" t="s">
        <v>817</v>
      </c>
      <c r="DI55" s="65">
        <f t="shared" si="32"/>
        <v>3341.44</v>
      </c>
      <c r="DK55" s="108"/>
      <c r="DL55" s="461" t="s">
        <v>204</v>
      </c>
      <c r="DM55" s="462" t="s">
        <v>961</v>
      </c>
      <c r="DN55" s="818">
        <f>VLOOKUP("TV COMISS ASS LEG 11 40H",RHE,10,FALSE)</f>
        <v>3341.44</v>
      </c>
      <c r="DO55" s="29"/>
      <c r="DP55" s="519" t="s">
        <v>915</v>
      </c>
      <c r="DQ55" s="520"/>
      <c r="DR55" s="521"/>
      <c r="DS55" s="109"/>
      <c r="DU55" s="66" t="s">
        <v>817</v>
      </c>
      <c r="DV55" s="65">
        <f t="shared" si="3"/>
        <v>992.53</v>
      </c>
      <c r="DX55" s="108"/>
      <c r="DY55" s="461" t="s">
        <v>203</v>
      </c>
      <c r="DZ55" s="462" t="s">
        <v>1038</v>
      </c>
      <c r="EA55" s="806">
        <f t="shared" si="34"/>
        <v>777.67</v>
      </c>
      <c r="EB55" s="29"/>
      <c r="EF55" s="109"/>
      <c r="EH55" s="66" t="s">
        <v>817</v>
      </c>
      <c r="EI55" s="65">
        <f t="shared" si="37"/>
        <v>107.31</v>
      </c>
      <c r="EK55" s="108"/>
      <c r="EL55" s="170"/>
      <c r="EM55" s="112"/>
      <c r="EN55" s="112"/>
      <c r="EO55" s="170"/>
      <c r="EP55" s="124"/>
      <c r="EQ55" s="174"/>
      <c r="ER55" s="30"/>
      <c r="ES55" s="109"/>
      <c r="EU55" s="108"/>
      <c r="EV55" s="30"/>
      <c r="EW55" s="30"/>
      <c r="EX55" s="30"/>
      <c r="EY55" s="30"/>
      <c r="EZ55" s="314"/>
      <c r="FA55" s="29"/>
      <c r="FB55" s="109"/>
      <c r="FD55" s="86"/>
      <c r="FE55" s="87"/>
      <c r="FG55" s="108"/>
      <c r="FH55" s="131"/>
      <c r="FI55" s="29"/>
      <c r="FJ55" s="29"/>
      <c r="FK55" s="109"/>
      <c r="FN55" s="108"/>
      <c r="FO55" s="29"/>
      <c r="FP55" s="112"/>
      <c r="FQ55" s="112"/>
      <c r="FR55" s="112"/>
      <c r="FS55" s="29"/>
      <c r="FT55" s="29"/>
      <c r="FU55" s="29"/>
      <c r="FV55" s="29"/>
      <c r="FW55" s="109"/>
    </row>
    <row r="56" spans="11:179" ht="12.75" customHeight="1">
      <c r="K56" s="108"/>
      <c r="L56" s="30"/>
      <c r="M56" s="30"/>
      <c r="N56" s="131"/>
      <c r="O56" s="29"/>
      <c r="P56" s="29"/>
      <c r="Q56" s="109"/>
      <c r="S56" s="86"/>
      <c r="T56" s="87"/>
      <c r="V56" s="108"/>
      <c r="W56" s="318"/>
      <c r="X56" s="30"/>
      <c r="Y56" s="29"/>
      <c r="Z56" s="29"/>
      <c r="AA56" s="29"/>
      <c r="AB56" s="109"/>
      <c r="AD56" s="86"/>
      <c r="AE56" s="87"/>
      <c r="AG56" s="108"/>
      <c r="AK56" s="29"/>
      <c r="AL56" s="29"/>
      <c r="AM56" s="109"/>
      <c r="AO56" s="66" t="s">
        <v>818</v>
      </c>
      <c r="AP56" s="65">
        <f t="shared" si="30"/>
        <v>3739.7</v>
      </c>
      <c r="AR56" s="108"/>
      <c r="AS56" s="461" t="s">
        <v>205</v>
      </c>
      <c r="AT56" s="883" t="s">
        <v>1129</v>
      </c>
      <c r="AU56" s="878">
        <v>3739.7</v>
      </c>
      <c r="AV56" s="29"/>
      <c r="AW56" s="159" t="s">
        <v>1206</v>
      </c>
      <c r="AX56" s="160"/>
      <c r="AY56" s="161"/>
      <c r="AZ56" s="109"/>
      <c r="BB56" s="29"/>
      <c r="BC56" s="29"/>
      <c r="BD56" s="131"/>
      <c r="BE56" s="29"/>
      <c r="BF56" s="29"/>
      <c r="BI56" s="108"/>
      <c r="BJ56" s="30"/>
      <c r="BK56" s="29"/>
      <c r="BL56" s="29"/>
      <c r="BM56" s="29"/>
      <c r="BN56" s="71"/>
      <c r="BP56" s="108"/>
      <c r="BQ56" s="145" t="s">
        <v>205</v>
      </c>
      <c r="BR56" s="52" t="str">
        <f t="shared" si="4"/>
        <v>CC PL 09</v>
      </c>
      <c r="BS56" s="30" t="s">
        <v>1079</v>
      </c>
      <c r="BT56" s="29"/>
      <c r="BU56" s="29"/>
      <c r="BV56" s="29"/>
      <c r="BW56" s="29"/>
      <c r="BX56" s="109"/>
      <c r="BZ56" s="86"/>
      <c r="CA56" s="87"/>
      <c r="CB56" s="29"/>
      <c r="CC56" s="70"/>
      <c r="CD56" s="541"/>
      <c r="CE56" s="502" t="s">
        <v>1</v>
      </c>
      <c r="CF56" s="874">
        <f>ROUNDDOWN(A1_MAG*2,2)</f>
        <v>1040.52</v>
      </c>
      <c r="CG56" s="29"/>
      <c r="CH56" s="131"/>
      <c r="CI56" s="131"/>
      <c r="CJ56" s="131"/>
      <c r="CK56" s="71"/>
      <c r="CL56" s="29"/>
      <c r="CM56" s="29"/>
      <c r="CN56" s="29"/>
      <c r="CO56" s="29"/>
      <c r="CP56" s="131"/>
      <c r="CQ56" s="29"/>
      <c r="CR56" s="131"/>
      <c r="CS56" s="29"/>
      <c r="CT56" s="29"/>
      <c r="CU56" s="86"/>
      <c r="CV56" s="87"/>
      <c r="CW56" s="425"/>
      <c r="CX56" s="423"/>
      <c r="CY56" s="480" t="s">
        <v>903</v>
      </c>
      <c r="CZ56" s="528" t="s">
        <v>3</v>
      </c>
      <c r="DA56" s="872">
        <f>DA$13</f>
        <v>553.3</v>
      </c>
      <c r="DB56" s="425"/>
      <c r="DF56" s="424"/>
      <c r="DG56" s="425"/>
      <c r="DH56" s="66" t="s">
        <v>818</v>
      </c>
      <c r="DI56" s="65">
        <f t="shared" si="32"/>
        <v>4031.87</v>
      </c>
      <c r="DK56" s="108"/>
      <c r="DL56" s="461" t="s">
        <v>205</v>
      </c>
      <c r="DM56" s="462" t="s">
        <v>962</v>
      </c>
      <c r="DN56" s="818">
        <f>VLOOKUP("TV COMISS ASS LEG 12 40H",RHE,10,FALSE)</f>
        <v>4031.87</v>
      </c>
      <c r="DO56" s="29"/>
      <c r="DP56" s="519" t="s">
        <v>913</v>
      </c>
      <c r="DQ56" s="520"/>
      <c r="DR56" s="521"/>
      <c r="DS56" s="109"/>
      <c r="DU56" s="66" t="s">
        <v>822</v>
      </c>
      <c r="DV56" s="65">
        <f aca="true" t="shared" si="38" ref="DV56:DV63">EE10</f>
        <v>231.41</v>
      </c>
      <c r="DX56" s="108"/>
      <c r="DY56" s="464" t="s">
        <v>204</v>
      </c>
      <c r="DZ56" s="465" t="s">
        <v>1039</v>
      </c>
      <c r="EA56" s="820">
        <f t="shared" si="34"/>
        <v>992.53</v>
      </c>
      <c r="EB56" s="29"/>
      <c r="EC56" s="1398" t="s">
        <v>426</v>
      </c>
      <c r="ED56" s="1399"/>
      <c r="EE56" s="1400"/>
      <c r="EF56" s="109"/>
      <c r="EH56" s="66" t="s">
        <v>818</v>
      </c>
      <c r="EI56" s="65">
        <f t="shared" si="37"/>
        <v>130.93</v>
      </c>
      <c r="EK56" s="108"/>
      <c r="EL56" s="170"/>
      <c r="EM56" s="112"/>
      <c r="EN56" s="112"/>
      <c r="EO56" s="170"/>
      <c r="EP56" s="124"/>
      <c r="EQ56" s="174"/>
      <c r="ER56" s="30"/>
      <c r="ES56" s="109"/>
      <c r="EU56" s="108"/>
      <c r="EV56" s="30"/>
      <c r="EW56" s="30"/>
      <c r="EX56" s="30"/>
      <c r="EY56" s="30"/>
      <c r="EZ56" s="314"/>
      <c r="FA56" s="29"/>
      <c r="FB56" s="109"/>
      <c r="FD56" s="86"/>
      <c r="FE56" s="87"/>
      <c r="FG56" s="108"/>
      <c r="FH56" s="131"/>
      <c r="FI56" s="29"/>
      <c r="FJ56" s="29"/>
      <c r="FK56" s="109"/>
      <c r="FN56" s="108"/>
      <c r="FV56" s="29"/>
      <c r="FW56" s="109"/>
    </row>
    <row r="57" spans="11:179" ht="12.75" customHeight="1">
      <c r="K57" s="108"/>
      <c r="L57" s="30"/>
      <c r="M57" s="30"/>
      <c r="N57" s="131"/>
      <c r="O57" s="29"/>
      <c r="P57" s="29"/>
      <c r="Q57" s="109"/>
      <c r="S57" s="86"/>
      <c r="T57" s="87"/>
      <c r="V57" s="108"/>
      <c r="W57" s="318"/>
      <c r="X57" s="30"/>
      <c r="Y57" s="29"/>
      <c r="Z57" s="29"/>
      <c r="AA57" s="29"/>
      <c r="AB57" s="109"/>
      <c r="AD57" s="86"/>
      <c r="AE57" s="87"/>
      <c r="AG57" s="70"/>
      <c r="AH57" s="1184" t="s">
        <v>559</v>
      </c>
      <c r="AI57" s="1186"/>
      <c r="AJ57" s="29" t="s">
        <v>552</v>
      </c>
      <c r="AK57" s="29"/>
      <c r="AL57" s="29"/>
      <c r="AM57" s="109"/>
      <c r="AO57" s="66" t="s">
        <v>819</v>
      </c>
      <c r="AP57" s="65">
        <f t="shared" si="30"/>
        <v>3937.92</v>
      </c>
      <c r="AR57" s="108"/>
      <c r="AS57" s="461" t="s">
        <v>206</v>
      </c>
      <c r="AT57" s="883" t="s">
        <v>1115</v>
      </c>
      <c r="AU57" s="878">
        <v>3937.92</v>
      </c>
      <c r="AV57" s="29"/>
      <c r="AW57" s="153" t="s">
        <v>1207</v>
      </c>
      <c r="AX57" s="154"/>
      <c r="AY57" s="155"/>
      <c r="AZ57" s="109"/>
      <c r="BB57" s="29"/>
      <c r="BC57" s="29"/>
      <c r="BD57" s="131"/>
      <c r="BE57" s="29"/>
      <c r="BF57" s="29"/>
      <c r="BI57" s="108"/>
      <c r="BJ57" s="30"/>
      <c r="BK57" s="29"/>
      <c r="BL57" s="29"/>
      <c r="BM57" s="29"/>
      <c r="BN57" s="71"/>
      <c r="BP57" s="108"/>
      <c r="BQ57" s="145" t="s">
        <v>206</v>
      </c>
      <c r="BR57" s="52" t="str">
        <f t="shared" si="4"/>
        <v>CC PL 10 </v>
      </c>
      <c r="BS57" s="30" t="s">
        <v>1079</v>
      </c>
      <c r="BT57" s="29"/>
      <c r="BU57" s="29"/>
      <c r="BV57" s="29"/>
      <c r="BW57" s="29"/>
      <c r="BX57" s="109"/>
      <c r="BZ57" s="86"/>
      <c r="CA57" s="87"/>
      <c r="CB57" s="29"/>
      <c r="CC57" s="70"/>
      <c r="CG57" s="29"/>
      <c r="CH57" s="131"/>
      <c r="CI57" s="131"/>
      <c r="CJ57" s="131"/>
      <c r="CK57" s="71"/>
      <c r="CL57" s="29"/>
      <c r="CM57" s="29"/>
      <c r="CN57" s="29"/>
      <c r="CO57" s="29"/>
      <c r="CP57" s="29"/>
      <c r="CQ57" s="29"/>
      <c r="CR57" s="131"/>
      <c r="CS57" s="29"/>
      <c r="CT57" s="29"/>
      <c r="CU57" s="86"/>
      <c r="CV57" s="87"/>
      <c r="CW57" s="425"/>
      <c r="CX57" s="423"/>
      <c r="CY57" s="458"/>
      <c r="CZ57" s="503" t="s">
        <v>2</v>
      </c>
      <c r="DA57" s="873">
        <f>ROUNDDOWN(DA$13*1.5,2)</f>
        <v>829.95</v>
      </c>
      <c r="DB57" s="425"/>
      <c r="DC57"/>
      <c r="DD57"/>
      <c r="DE57"/>
      <c r="DF57" s="424"/>
      <c r="DG57" s="425"/>
      <c r="DH57" s="66" t="s">
        <v>819</v>
      </c>
      <c r="DI57" s="65">
        <f t="shared" si="32"/>
        <v>4919.74</v>
      </c>
      <c r="DK57" s="108"/>
      <c r="DL57" s="461" t="s">
        <v>206</v>
      </c>
      <c r="DM57" s="462" t="s">
        <v>963</v>
      </c>
      <c r="DN57" s="818">
        <f>VLOOKUP("TV COMISS ASS LEG 13 40H",RHE,10,FALSE)</f>
        <v>4919.74</v>
      </c>
      <c r="DO57" s="29"/>
      <c r="DP57" s="522" t="s">
        <v>914</v>
      </c>
      <c r="DQ57" s="523"/>
      <c r="DR57" s="524"/>
      <c r="DS57" s="109"/>
      <c r="DU57" s="66" t="s">
        <v>823</v>
      </c>
      <c r="DV57" s="65">
        <f t="shared" si="38"/>
        <v>266.06</v>
      </c>
      <c r="DX57" s="108"/>
      <c r="DY57" s="112"/>
      <c r="DZ57" s="29"/>
      <c r="EA57" s="30"/>
      <c r="EB57" s="29"/>
      <c r="EC57" s="1404"/>
      <c r="ED57" s="1405"/>
      <c r="EE57" s="1406"/>
      <c r="EF57" s="109"/>
      <c r="EH57" s="66" t="s">
        <v>819</v>
      </c>
      <c r="EI57" s="65">
        <f t="shared" si="37"/>
        <v>155.15</v>
      </c>
      <c r="EK57" s="108"/>
      <c r="EL57" s="112"/>
      <c r="EM57" s="112"/>
      <c r="EN57" s="112"/>
      <c r="EO57" s="112"/>
      <c r="EP57" s="124"/>
      <c r="EQ57" s="174"/>
      <c r="ER57" s="29"/>
      <c r="ES57" s="109"/>
      <c r="EU57" s="108"/>
      <c r="EV57" s="30"/>
      <c r="EW57" s="30"/>
      <c r="EX57" s="30"/>
      <c r="EY57" s="30"/>
      <c r="EZ57" s="314"/>
      <c r="FA57" s="29"/>
      <c r="FB57" s="109"/>
      <c r="FD57" s="86"/>
      <c r="FE57" s="87"/>
      <c r="FG57" s="108"/>
      <c r="FH57" s="131"/>
      <c r="FI57" s="29"/>
      <c r="FJ57" s="29"/>
      <c r="FK57" s="109"/>
      <c r="FN57" s="108"/>
      <c r="FV57" s="29"/>
      <c r="FW57" s="109"/>
    </row>
    <row r="58" spans="11:179" ht="12.75" customHeight="1">
      <c r="K58" s="108"/>
      <c r="L58" s="30"/>
      <c r="M58" s="30"/>
      <c r="N58" s="131"/>
      <c r="O58" s="29"/>
      <c r="P58" s="29"/>
      <c r="Q58" s="109"/>
      <c r="S58" s="86"/>
      <c r="T58" s="87"/>
      <c r="V58" s="108"/>
      <c r="X58" s="29"/>
      <c r="AB58" s="109"/>
      <c r="AD58" s="86"/>
      <c r="AE58" s="87"/>
      <c r="AG58" s="70"/>
      <c r="AK58" s="29"/>
      <c r="AL58" s="29"/>
      <c r="AM58" s="109"/>
      <c r="AO58" s="66" t="s">
        <v>820</v>
      </c>
      <c r="AP58" s="65">
        <f t="shared" si="30"/>
        <v>4375.45</v>
      </c>
      <c r="AR58" s="108"/>
      <c r="AS58" s="461" t="s">
        <v>207</v>
      </c>
      <c r="AT58" s="883" t="s">
        <v>1116</v>
      </c>
      <c r="AU58" s="878">
        <v>4375.45</v>
      </c>
      <c r="AV58" s="29"/>
      <c r="AZ58" s="109"/>
      <c r="BB58" s="29"/>
      <c r="BC58" s="29"/>
      <c r="BD58" s="131"/>
      <c r="BE58" s="29"/>
      <c r="BF58" s="29"/>
      <c r="BI58" s="108"/>
      <c r="BJ58" s="30"/>
      <c r="BK58" s="29"/>
      <c r="BL58" s="29"/>
      <c r="BM58" s="29"/>
      <c r="BN58" s="71"/>
      <c r="BP58" s="108"/>
      <c r="BQ58" s="145" t="s">
        <v>207</v>
      </c>
      <c r="BR58" s="52" t="str">
        <f t="shared" si="4"/>
        <v>CC PL 11 </v>
      </c>
      <c r="BS58" s="30" t="s">
        <v>1079</v>
      </c>
      <c r="BT58" s="29"/>
      <c r="BU58" s="29"/>
      <c r="BV58" s="29"/>
      <c r="BW58" s="29"/>
      <c r="BX58" s="109"/>
      <c r="BZ58" s="86"/>
      <c r="CA58" s="87"/>
      <c r="CB58" s="29"/>
      <c r="CC58" s="70"/>
      <c r="CD58" s="1210" t="s">
        <v>6</v>
      </c>
      <c r="CE58" s="1347"/>
      <c r="CF58" s="900">
        <f>ROUNDDOWN(A1_MAG*0.1,2)</f>
        <v>52.02</v>
      </c>
      <c r="CG58" s="29"/>
      <c r="CH58" s="131"/>
      <c r="CI58" s="131"/>
      <c r="CJ58" s="131"/>
      <c r="CK58" s="71"/>
      <c r="CL58" s="29"/>
      <c r="CM58" s="29"/>
      <c r="CN58" s="131"/>
      <c r="CO58" s="131"/>
      <c r="CP58" s="131"/>
      <c r="CQ58" s="29"/>
      <c r="CR58" s="131"/>
      <c r="CS58" s="29"/>
      <c r="CT58" s="29"/>
      <c r="CU58" s="86"/>
      <c r="CV58" s="87"/>
      <c r="CW58" s="425"/>
      <c r="CX58" s="423"/>
      <c r="CY58" s="457"/>
      <c r="CZ58" s="502" t="s">
        <v>1</v>
      </c>
      <c r="DA58" s="874">
        <f>DA$13*2</f>
        <v>1106.6</v>
      </c>
      <c r="DB58" s="425"/>
      <c r="DC58" s="1320" t="s">
        <v>536</v>
      </c>
      <c r="DD58" s="1321"/>
      <c r="DE58" s="1322"/>
      <c r="DF58" s="424"/>
      <c r="DG58" s="425"/>
      <c r="DH58" s="66" t="s">
        <v>820</v>
      </c>
      <c r="DI58" s="65">
        <f t="shared" si="32"/>
        <v>6559.67</v>
      </c>
      <c r="DK58" s="108"/>
      <c r="DL58" s="493" t="s">
        <v>207</v>
      </c>
      <c r="DM58" s="484" t="s">
        <v>964</v>
      </c>
      <c r="DN58" s="818">
        <f>VLOOKUP("TV COMISS ASS LEG 14 40H",RHE,10,FALSE)</f>
        <v>6559.67</v>
      </c>
      <c r="DO58" s="29"/>
      <c r="DS58" s="109"/>
      <c r="DU58" s="66" t="s">
        <v>824</v>
      </c>
      <c r="DV58" s="65">
        <f t="shared" si="38"/>
        <v>325.29</v>
      </c>
      <c r="DX58" s="108"/>
      <c r="DY58" s="112"/>
      <c r="EF58" s="109"/>
      <c r="EH58" s="66" t="s">
        <v>820</v>
      </c>
      <c r="EI58" s="65">
        <f t="shared" si="37"/>
        <v>178.77</v>
      </c>
      <c r="EK58" s="108"/>
      <c r="EL58" s="112"/>
      <c r="EM58" s="112"/>
      <c r="EN58" s="112"/>
      <c r="EO58" s="112"/>
      <c r="EP58" s="124"/>
      <c r="EQ58" s="174"/>
      <c r="ER58" s="29"/>
      <c r="ES58" s="109"/>
      <c r="EU58" s="108"/>
      <c r="EV58" s="30"/>
      <c r="EW58" s="30"/>
      <c r="EX58" s="30"/>
      <c r="EY58" s="30"/>
      <c r="EZ58" s="314"/>
      <c r="FA58" s="29"/>
      <c r="FB58" s="109"/>
      <c r="FD58" s="86"/>
      <c r="FE58" s="87"/>
      <c r="FG58" s="108"/>
      <c r="FH58" s="131"/>
      <c r="FI58" s="29"/>
      <c r="FJ58" s="29"/>
      <c r="FK58" s="109"/>
      <c r="FN58" s="108"/>
      <c r="FV58" s="29"/>
      <c r="FW58" s="109"/>
    </row>
    <row r="59" spans="11:179" ht="12.75" customHeight="1">
      <c r="K59" s="108"/>
      <c r="L59" s="30"/>
      <c r="M59" s="30"/>
      <c r="N59" s="131"/>
      <c r="O59" s="29"/>
      <c r="P59" s="29"/>
      <c r="Q59" s="109"/>
      <c r="S59" s="86"/>
      <c r="T59" s="138"/>
      <c r="V59" s="108"/>
      <c r="W59" s="30"/>
      <c r="X59" s="29"/>
      <c r="Y59" s="29"/>
      <c r="Z59" s="29"/>
      <c r="AA59" s="29"/>
      <c r="AB59" s="109"/>
      <c r="AD59" s="86"/>
      <c r="AE59" s="138"/>
      <c r="AG59" s="108"/>
      <c r="AH59" s="1288" t="s">
        <v>551</v>
      </c>
      <c r="AI59" s="1289"/>
      <c r="AJ59" s="29" t="s">
        <v>553</v>
      </c>
      <c r="AK59" s="29"/>
      <c r="AL59" s="29"/>
      <c r="AM59" s="109"/>
      <c r="AO59" s="66" t="s">
        <v>821</v>
      </c>
      <c r="AP59" s="65">
        <f t="shared" si="30"/>
        <v>5095.87</v>
      </c>
      <c r="AR59" s="108"/>
      <c r="AS59" s="461" t="s">
        <v>1342</v>
      </c>
      <c r="AT59" s="883" t="s">
        <v>1117</v>
      </c>
      <c r="AU59" s="878">
        <v>5095.87</v>
      </c>
      <c r="AV59" s="29"/>
      <c r="AW59" s="1318" t="s">
        <v>423</v>
      </c>
      <c r="AX59" s="1318"/>
      <c r="AY59" s="1318"/>
      <c r="AZ59" s="1319"/>
      <c r="BB59" s="29"/>
      <c r="BC59" s="29"/>
      <c r="BD59" s="131"/>
      <c r="BE59" s="29"/>
      <c r="BF59" s="29"/>
      <c r="BI59" s="108"/>
      <c r="BJ59" s="30"/>
      <c r="BK59" s="29"/>
      <c r="BL59" s="29"/>
      <c r="BM59" s="29"/>
      <c r="BN59" s="71"/>
      <c r="BP59" s="108"/>
      <c r="BQ59" s="145" t="s">
        <v>1342</v>
      </c>
      <c r="BR59" s="52" t="str">
        <f t="shared" si="4"/>
        <v>CC PL 12</v>
      </c>
      <c r="BS59" s="30" t="s">
        <v>1079</v>
      </c>
      <c r="BT59" s="29"/>
      <c r="BU59" s="29"/>
      <c r="BV59" s="29"/>
      <c r="BW59" s="29"/>
      <c r="BX59" s="109" t="s">
        <v>1079</v>
      </c>
      <c r="BZ59" s="86"/>
      <c r="CA59" s="138"/>
      <c r="CB59" s="29"/>
      <c r="CC59" s="70"/>
      <c r="CG59" s="29"/>
      <c r="CK59" s="71"/>
      <c r="CL59" s="29"/>
      <c r="CM59" s="29"/>
      <c r="CN59" s="29"/>
      <c r="CO59" s="29"/>
      <c r="CP59" s="29"/>
      <c r="CQ59" s="29"/>
      <c r="CR59" s="29"/>
      <c r="CS59" s="29"/>
      <c r="CT59" s="29"/>
      <c r="CU59" s="86"/>
      <c r="CV59" s="138"/>
      <c r="CW59" s="425"/>
      <c r="CX59" s="423"/>
      <c r="CY59" s="409"/>
      <c r="CZ59" s="409"/>
      <c r="DA59" s="924"/>
      <c r="DB59" s="425"/>
      <c r="DC59" s="1323"/>
      <c r="DD59" s="1324"/>
      <c r="DE59" s="1325"/>
      <c r="DF59" s="424"/>
      <c r="DG59" s="425"/>
      <c r="DH59" s="66" t="s">
        <v>821</v>
      </c>
      <c r="DI59" s="65">
        <f t="shared" si="32"/>
        <v>738.86</v>
      </c>
      <c r="DK59" s="108"/>
      <c r="DL59" s="497" t="s">
        <v>1342</v>
      </c>
      <c r="DM59" s="489" t="s">
        <v>965</v>
      </c>
      <c r="DN59" s="818">
        <f>VLOOKUP("TV COMISS TRIB JUST 02 40H",RHE,10,FALSE)</f>
        <v>738.86</v>
      </c>
      <c r="DO59" s="29"/>
      <c r="DP59" s="29" t="s">
        <v>525</v>
      </c>
      <c r="DR59" s="29"/>
      <c r="DS59" s="109"/>
      <c r="DU59" s="66" t="s">
        <v>825</v>
      </c>
      <c r="DV59" s="65">
        <f t="shared" si="38"/>
        <v>384.4</v>
      </c>
      <c r="DX59" s="108"/>
      <c r="DY59" s="112"/>
      <c r="DZ59" s="29"/>
      <c r="EA59" s="1398" t="s">
        <v>1426</v>
      </c>
      <c r="EB59" s="1399"/>
      <c r="EC59" s="1399"/>
      <c r="ED59" s="1399"/>
      <c r="EE59" s="1400"/>
      <c r="EF59" s="109"/>
      <c r="EH59" s="66" t="s">
        <v>821</v>
      </c>
      <c r="EI59" s="65">
        <f t="shared" si="37"/>
        <v>202.51</v>
      </c>
      <c r="EK59" s="108"/>
      <c r="EL59" s="112"/>
      <c r="EM59" s="112"/>
      <c r="EN59" s="112"/>
      <c r="EO59" s="112"/>
      <c r="EP59" s="124"/>
      <c r="EQ59" s="174"/>
      <c r="ER59" s="29"/>
      <c r="ES59" s="109"/>
      <c r="EU59" s="108"/>
      <c r="EV59" s="30"/>
      <c r="EW59" s="30"/>
      <c r="EX59" s="30"/>
      <c r="EY59" s="30"/>
      <c r="EZ59" s="314"/>
      <c r="FA59" s="29"/>
      <c r="FB59" s="109"/>
      <c r="FD59" s="86"/>
      <c r="FE59" s="87"/>
      <c r="FG59" s="108"/>
      <c r="FH59" s="131"/>
      <c r="FI59" s="29"/>
      <c r="FJ59" s="29"/>
      <c r="FK59" s="109"/>
      <c r="FN59" s="108"/>
      <c r="FV59" s="29"/>
      <c r="FW59" s="109"/>
    </row>
    <row r="60" spans="11:179" ht="13.5" customHeight="1" thickBot="1">
      <c r="K60" s="114"/>
      <c r="L60" s="115"/>
      <c r="M60" s="115"/>
      <c r="N60" s="135"/>
      <c r="O60" s="115"/>
      <c r="P60" s="115"/>
      <c r="Q60" s="116"/>
      <c r="S60" s="86"/>
      <c r="T60" s="138"/>
      <c r="V60" s="108"/>
      <c r="W60" s="30"/>
      <c r="X60" s="29"/>
      <c r="Y60" s="29"/>
      <c r="Z60" s="29"/>
      <c r="AA60" s="29"/>
      <c r="AB60" s="109"/>
      <c r="AD60" s="86"/>
      <c r="AE60" s="138"/>
      <c r="AG60" s="70"/>
      <c r="AK60" s="29"/>
      <c r="AL60" s="29"/>
      <c r="AM60" s="109"/>
      <c r="AO60" s="66" t="s">
        <v>822</v>
      </c>
      <c r="AP60" s="65">
        <f t="shared" si="30"/>
        <v>1604.1</v>
      </c>
      <c r="AR60" s="108"/>
      <c r="AS60" s="461" t="s">
        <v>1343</v>
      </c>
      <c r="AT60" s="462" t="s">
        <v>1119</v>
      </c>
      <c r="AU60" s="806">
        <f>VLOOKUP("TV COMISS TRIB CONT 01 40H",RHE,10,FALSE)</f>
        <v>1604.1</v>
      </c>
      <c r="AV60" s="29"/>
      <c r="AW60" s="1318" t="s">
        <v>422</v>
      </c>
      <c r="AX60" s="1318"/>
      <c r="AY60" s="1318"/>
      <c r="AZ60" s="1319"/>
      <c r="BB60" s="29"/>
      <c r="BC60" s="29"/>
      <c r="BD60" s="131"/>
      <c r="BE60" s="29"/>
      <c r="BF60" s="29"/>
      <c r="BI60" s="108"/>
      <c r="BJ60" s="30"/>
      <c r="BK60" s="29"/>
      <c r="BL60" s="29"/>
      <c r="BM60" s="29"/>
      <c r="BN60" s="71"/>
      <c r="BP60" s="108"/>
      <c r="BQ60" s="145" t="s">
        <v>1343</v>
      </c>
      <c r="BR60" s="52" t="str">
        <f t="shared" si="4"/>
        <v>CC TC 01 </v>
      </c>
      <c r="BS60" s="30" t="s">
        <v>1079</v>
      </c>
      <c r="BT60" s="29"/>
      <c r="BU60" s="29"/>
      <c r="BV60" s="29"/>
      <c r="BW60" s="29"/>
      <c r="BX60" s="109"/>
      <c r="BZ60" s="86"/>
      <c r="CA60" s="138"/>
      <c r="CB60" s="29"/>
      <c r="CC60" s="70"/>
      <c r="CG60" s="29"/>
      <c r="CH60"/>
      <c r="CI60"/>
      <c r="CJ60"/>
      <c r="CK60" s="71"/>
      <c r="CL60" s="29"/>
      <c r="CM60" s="29"/>
      <c r="CN60" s="29"/>
      <c r="CO60" s="29"/>
      <c r="CP60" s="29"/>
      <c r="CQ60" s="29"/>
      <c r="CR60" s="111"/>
      <c r="CS60" s="111"/>
      <c r="CT60" s="29"/>
      <c r="CU60" s="86"/>
      <c r="CV60" s="138"/>
      <c r="CW60" s="425"/>
      <c r="CX60" s="423"/>
      <c r="CY60" s="1310" t="s">
        <v>6</v>
      </c>
      <c r="CZ60" s="1311"/>
      <c r="DA60" s="927">
        <f>ROUNDDOWN(DA$13*0.1,2)</f>
        <v>55.33</v>
      </c>
      <c r="DB60" s="425"/>
      <c r="DC60" s="1326"/>
      <c r="DD60" s="1327"/>
      <c r="DE60" s="1328"/>
      <c r="DF60" s="424"/>
      <c r="DG60" s="425"/>
      <c r="DH60" s="66" t="s">
        <v>822</v>
      </c>
      <c r="DI60" s="65">
        <f t="shared" si="32"/>
        <v>890.71</v>
      </c>
      <c r="DK60" s="108"/>
      <c r="DL60" s="461" t="s">
        <v>1343</v>
      </c>
      <c r="DM60" s="462" t="s">
        <v>966</v>
      </c>
      <c r="DN60" s="818">
        <f>VLOOKUP("TV COMISS TRIB JUST 03 40H",RHE,10,FALSE)</f>
        <v>890.71</v>
      </c>
      <c r="DO60" s="29"/>
      <c r="DP60" s="29" t="s">
        <v>526</v>
      </c>
      <c r="DR60" s="29"/>
      <c r="DS60" s="109"/>
      <c r="DU60" s="66" t="s">
        <v>826</v>
      </c>
      <c r="DV60" s="65">
        <f t="shared" si="38"/>
        <v>444.83</v>
      </c>
      <c r="DX60" s="108"/>
      <c r="DY60" s="112"/>
      <c r="DZ60" s="29"/>
      <c r="EA60" s="1401"/>
      <c r="EB60" s="1402"/>
      <c r="EC60" s="1402"/>
      <c r="ED60" s="1402"/>
      <c r="EE60" s="1403"/>
      <c r="EF60" s="109"/>
      <c r="EH60" s="67" t="s">
        <v>822</v>
      </c>
      <c r="EI60" s="83">
        <f t="shared" si="37"/>
        <v>317.26</v>
      </c>
      <c r="EK60" s="108"/>
      <c r="EL60" s="112"/>
      <c r="EM60" s="112"/>
      <c r="EN60" s="112"/>
      <c r="EO60" s="112"/>
      <c r="EP60" s="124"/>
      <c r="EQ60" s="174"/>
      <c r="ER60" s="29"/>
      <c r="ES60" s="109"/>
      <c r="EU60" s="108"/>
      <c r="EV60" s="30"/>
      <c r="EW60" s="30"/>
      <c r="EX60" s="30"/>
      <c r="EY60" s="30"/>
      <c r="EZ60" s="314"/>
      <c r="FA60" s="29"/>
      <c r="FB60" s="109"/>
      <c r="FD60" s="86"/>
      <c r="FE60" s="87"/>
      <c r="FG60" s="108"/>
      <c r="FH60" s="131"/>
      <c r="FI60" s="29"/>
      <c r="FJ60" s="29"/>
      <c r="FK60" s="109"/>
      <c r="FN60" s="108"/>
      <c r="FV60" s="29"/>
      <c r="FW60" s="109"/>
    </row>
    <row r="61" spans="11:179" ht="12">
      <c r="K61" s="129"/>
      <c r="L61" s="129"/>
      <c r="M61" s="129"/>
      <c r="N61" s="149"/>
      <c r="O61" s="104"/>
      <c r="P61" s="104"/>
      <c r="Q61" s="129"/>
      <c r="S61" s="86"/>
      <c r="T61" s="138"/>
      <c r="V61" s="108"/>
      <c r="W61" s="30"/>
      <c r="X61" s="29"/>
      <c r="Y61" s="29"/>
      <c r="Z61" s="29"/>
      <c r="AA61" s="29"/>
      <c r="AB61" s="109"/>
      <c r="AD61" s="86"/>
      <c r="AE61" s="138"/>
      <c r="AG61" s="108"/>
      <c r="AK61" s="55"/>
      <c r="AL61" s="55"/>
      <c r="AM61" s="109"/>
      <c r="AO61" s="66" t="s">
        <v>823</v>
      </c>
      <c r="AP61" s="65">
        <f t="shared" si="30"/>
        <v>2160.75</v>
      </c>
      <c r="AR61" s="108"/>
      <c r="AS61" s="461" t="s">
        <v>1344</v>
      </c>
      <c r="AT61" s="462" t="s">
        <v>1118</v>
      </c>
      <c r="AU61" s="806">
        <f>VLOOKUP("TV COMISS TRIB CONT 03 40H",RHE,10,FALSE)</f>
        <v>2160.75</v>
      </c>
      <c r="AV61" s="29"/>
      <c r="AW61" s="1318" t="s">
        <v>421</v>
      </c>
      <c r="AX61" s="1318"/>
      <c r="AY61" s="1318"/>
      <c r="AZ61" s="1319"/>
      <c r="BB61" s="29"/>
      <c r="BC61" s="29"/>
      <c r="BD61" s="131"/>
      <c r="BE61" s="29"/>
      <c r="BF61" s="29"/>
      <c r="BI61" s="108"/>
      <c r="BJ61" s="30"/>
      <c r="BK61" s="29"/>
      <c r="BL61" s="29"/>
      <c r="BM61" s="29"/>
      <c r="BN61" s="71"/>
      <c r="BP61" s="108"/>
      <c r="BQ61" s="145" t="s">
        <v>1344</v>
      </c>
      <c r="BR61" s="52" t="str">
        <f t="shared" si="4"/>
        <v>CC TC 02 </v>
      </c>
      <c r="BS61" s="30" t="s">
        <v>1079</v>
      </c>
      <c r="BT61" s="29"/>
      <c r="BU61" s="29"/>
      <c r="BV61" s="29"/>
      <c r="BW61" s="29"/>
      <c r="BX61" s="109"/>
      <c r="BZ61" s="86"/>
      <c r="CA61" s="138"/>
      <c r="CC61" s="70"/>
      <c r="CG61" s="29"/>
      <c r="CK61" s="71"/>
      <c r="CL61" s="29"/>
      <c r="CM61" s="29"/>
      <c r="CN61" s="29"/>
      <c r="CO61" s="29"/>
      <c r="CP61" s="29"/>
      <c r="CQ61" s="29"/>
      <c r="CR61" s="29"/>
      <c r="CS61" s="29"/>
      <c r="CT61" s="29"/>
      <c r="CU61" s="86"/>
      <c r="CV61" s="138"/>
      <c r="CW61" s="425"/>
      <c r="CX61" s="423"/>
      <c r="CY61" s="409"/>
      <c r="CZ61" s="409"/>
      <c r="DA61" s="409"/>
      <c r="DB61" s="425"/>
      <c r="DF61" s="424"/>
      <c r="DG61" s="425"/>
      <c r="DH61" s="66" t="s">
        <v>823</v>
      </c>
      <c r="DI61" s="65">
        <f t="shared" si="32"/>
        <v>1001.17</v>
      </c>
      <c r="DK61" s="108"/>
      <c r="DL61" s="461" t="s">
        <v>1344</v>
      </c>
      <c r="DM61" s="462" t="s">
        <v>967</v>
      </c>
      <c r="DN61" s="818">
        <f>VLOOKUP("TV COMISS TRIB JUST 04 40H",RHE,10,FALSE)</f>
        <v>1001.17</v>
      </c>
      <c r="DO61" s="29"/>
      <c r="DP61" s="29" t="s">
        <v>524</v>
      </c>
      <c r="DR61" s="29"/>
      <c r="DS61" s="71"/>
      <c r="DU61" s="66" t="s">
        <v>827</v>
      </c>
      <c r="DV61" s="65">
        <f t="shared" si="38"/>
        <v>503.94</v>
      </c>
      <c r="DX61" s="108"/>
      <c r="DY61" s="112"/>
      <c r="DZ61" s="29"/>
      <c r="EA61" s="1404"/>
      <c r="EB61" s="1405"/>
      <c r="EC61" s="1405"/>
      <c r="ED61" s="1405"/>
      <c r="EE61" s="1406"/>
      <c r="EF61" s="109"/>
      <c r="EH61" s="86"/>
      <c r="EI61" s="87"/>
      <c r="EK61" s="108"/>
      <c r="EL61" s="112"/>
      <c r="EM61" s="112"/>
      <c r="EN61" s="112"/>
      <c r="EO61" s="112"/>
      <c r="EP61" s="124"/>
      <c r="EQ61" s="174"/>
      <c r="ER61" s="29"/>
      <c r="ES61" s="109"/>
      <c r="EU61" s="108"/>
      <c r="EV61" s="30"/>
      <c r="EW61" s="30"/>
      <c r="EX61" s="30"/>
      <c r="EY61" s="30"/>
      <c r="EZ61" s="314"/>
      <c r="FA61" s="29"/>
      <c r="FB61" s="109"/>
      <c r="FD61" s="86"/>
      <c r="FE61" s="87"/>
      <c r="FG61" s="108"/>
      <c r="FH61" s="131"/>
      <c r="FI61" s="29"/>
      <c r="FJ61" s="29"/>
      <c r="FK61" s="109"/>
      <c r="FN61" s="114"/>
      <c r="FO61" s="115"/>
      <c r="FP61" s="115"/>
      <c r="FQ61" s="115"/>
      <c r="FR61" s="135"/>
      <c r="FS61" s="115"/>
      <c r="FT61" s="115"/>
      <c r="FU61" s="115"/>
      <c r="FV61" s="115"/>
      <c r="FW61" s="116"/>
    </row>
    <row r="62" spans="19:179" ht="12" customHeight="1">
      <c r="S62" s="86"/>
      <c r="T62" s="138"/>
      <c r="V62" s="114"/>
      <c r="W62" s="115"/>
      <c r="X62" s="115"/>
      <c r="Y62" s="115"/>
      <c r="Z62" s="115"/>
      <c r="AA62" s="115"/>
      <c r="AB62" s="116"/>
      <c r="AD62" s="86"/>
      <c r="AE62" s="138"/>
      <c r="AG62" s="114"/>
      <c r="AH62" s="115"/>
      <c r="AI62" s="115"/>
      <c r="AJ62" s="115"/>
      <c r="AK62" s="115"/>
      <c r="AL62" s="115"/>
      <c r="AM62" s="116"/>
      <c r="AO62" s="66" t="s">
        <v>824</v>
      </c>
      <c r="AP62" s="65">
        <f t="shared" si="30"/>
        <v>2714.41</v>
      </c>
      <c r="AR62" s="108"/>
      <c r="AS62" s="461" t="s">
        <v>1345</v>
      </c>
      <c r="AT62" s="462" t="s">
        <v>1120</v>
      </c>
      <c r="AU62" s="806">
        <f>VLOOKUP("TV COMISS TRIB CONT 05 40H",RHE,10,FALSE)</f>
        <v>2714.41</v>
      </c>
      <c r="AV62" s="29"/>
      <c r="AW62" s="1292" t="s">
        <v>48</v>
      </c>
      <c r="AX62" s="1292"/>
      <c r="AY62" s="1292"/>
      <c r="AZ62" s="1293"/>
      <c r="BB62" s="29"/>
      <c r="BC62" s="29"/>
      <c r="BD62" s="131"/>
      <c r="BE62" s="29"/>
      <c r="BF62" s="29"/>
      <c r="BI62" s="114"/>
      <c r="BJ62" s="115"/>
      <c r="BK62" s="115"/>
      <c r="BL62" s="115"/>
      <c r="BM62" s="115"/>
      <c r="BN62" s="116"/>
      <c r="BP62" s="108"/>
      <c r="BQ62" s="145" t="s">
        <v>1345</v>
      </c>
      <c r="BR62" s="52" t="str">
        <f t="shared" si="4"/>
        <v>CC TC 03 </v>
      </c>
      <c r="BS62" s="30" t="s">
        <v>1079</v>
      </c>
      <c r="BT62" s="29"/>
      <c r="BU62" s="29"/>
      <c r="BV62" s="29"/>
      <c r="BW62" s="29"/>
      <c r="BX62" s="109"/>
      <c r="BZ62" s="86"/>
      <c r="CA62" s="138"/>
      <c r="CC62" s="74"/>
      <c r="CD62" s="113"/>
      <c r="CE62" s="113"/>
      <c r="CF62" s="113"/>
      <c r="CG62" s="113"/>
      <c r="CH62" s="113"/>
      <c r="CI62" s="113"/>
      <c r="CJ62" s="113"/>
      <c r="CK62" s="75"/>
      <c r="CL62" s="29"/>
      <c r="CM62" s="29"/>
      <c r="CN62" s="29"/>
      <c r="CO62" s="29"/>
      <c r="CP62" s="29"/>
      <c r="CQ62" s="29"/>
      <c r="CR62" s="29"/>
      <c r="CS62" s="29"/>
      <c r="CT62" s="29"/>
      <c r="CU62" s="86"/>
      <c r="CV62" s="138"/>
      <c r="CW62" s="425"/>
      <c r="CX62" s="423"/>
      <c r="CY62" s="31" t="s">
        <v>578</v>
      </c>
      <c r="DB62" s="29"/>
      <c r="DC62"/>
      <c r="DF62" s="424"/>
      <c r="DG62" s="425"/>
      <c r="DH62" s="66" t="s">
        <v>824</v>
      </c>
      <c r="DI62" s="65">
        <f t="shared" si="32"/>
        <v>1985.15</v>
      </c>
      <c r="DK62" s="108"/>
      <c r="DL62" s="461" t="s">
        <v>1345</v>
      </c>
      <c r="DM62" s="462" t="s">
        <v>968</v>
      </c>
      <c r="DN62" s="818">
        <f>VLOOKUP("TV COMISS TRIB JUST 05 40H",RHE,10,FALSE)</f>
        <v>1985.15</v>
      </c>
      <c r="DO62" s="29"/>
      <c r="DP62" s="1329" t="s">
        <v>528</v>
      </c>
      <c r="DQ62" s="1329"/>
      <c r="DR62" s="1329"/>
      <c r="DS62" s="1330"/>
      <c r="DU62" s="66" t="s">
        <v>800</v>
      </c>
      <c r="DV62" s="65">
        <f t="shared" si="38"/>
        <v>562.93</v>
      </c>
      <c r="DX62" s="114"/>
      <c r="DY62" s="135"/>
      <c r="DZ62" s="115"/>
      <c r="EA62" s="115"/>
      <c r="EB62" s="115"/>
      <c r="EC62" s="135"/>
      <c r="ED62" s="115"/>
      <c r="EE62" s="115"/>
      <c r="EF62" s="116"/>
      <c r="EH62" s="86"/>
      <c r="EI62" s="87"/>
      <c r="EK62" s="114"/>
      <c r="EL62" s="135"/>
      <c r="EM62" s="135"/>
      <c r="EN62" s="135"/>
      <c r="EO62" s="135"/>
      <c r="EP62" s="214"/>
      <c r="EQ62" s="175"/>
      <c r="ER62" s="115"/>
      <c r="ES62" s="116"/>
      <c r="EU62" s="114"/>
      <c r="EV62" s="115"/>
      <c r="EW62" s="115"/>
      <c r="EX62" s="115"/>
      <c r="EY62" s="115"/>
      <c r="EZ62" s="315"/>
      <c r="FA62" s="115"/>
      <c r="FB62" s="116"/>
      <c r="FD62" s="86"/>
      <c r="FE62" s="87"/>
      <c r="FG62" s="114"/>
      <c r="FH62" s="135"/>
      <c r="FI62" s="115"/>
      <c r="FJ62" s="115"/>
      <c r="FK62" s="116"/>
      <c r="FN62" s="129"/>
      <c r="FV62" s="29"/>
      <c r="FW62" s="129"/>
    </row>
    <row r="63" spans="19:179" ht="12" customHeight="1">
      <c r="S63" s="86"/>
      <c r="T63" s="138"/>
      <c r="AD63" s="86"/>
      <c r="AE63" s="138"/>
      <c r="AO63" s="66" t="s">
        <v>825</v>
      </c>
      <c r="AP63" s="137">
        <f t="shared" si="30"/>
        <v>3269.97</v>
      </c>
      <c r="AR63" s="108"/>
      <c r="AS63" s="498" t="s">
        <v>1356</v>
      </c>
      <c r="AT63" s="462" t="s">
        <v>1159</v>
      </c>
      <c r="AU63" s="806">
        <f>VLOOKUP("TV COMISS TRIB CONT 07 40H",RHE,10,FALSE)</f>
        <v>3269.97</v>
      </c>
      <c r="AV63" s="29"/>
      <c r="AW63" s="1292"/>
      <c r="AX63" s="1292"/>
      <c r="AY63" s="1292"/>
      <c r="AZ63" s="1293"/>
      <c r="BA63" s="29"/>
      <c r="BB63" s="29"/>
      <c r="BC63" s="29"/>
      <c r="BD63" s="131"/>
      <c r="BE63" s="29"/>
      <c r="BF63" s="29"/>
      <c r="BH63" s="29"/>
      <c r="BI63" s="30"/>
      <c r="BJ63" s="30"/>
      <c r="BK63" s="29"/>
      <c r="BL63" s="29"/>
      <c r="BM63" s="29"/>
      <c r="BN63" s="29"/>
      <c r="BO63" s="29"/>
      <c r="BP63" s="30"/>
      <c r="BQ63" s="142" t="s">
        <v>1356</v>
      </c>
      <c r="BR63" s="52" t="str">
        <f t="shared" si="4"/>
        <v>CC TC 04</v>
      </c>
      <c r="BS63" s="29"/>
      <c r="BT63" s="29"/>
      <c r="BU63" s="29"/>
      <c r="BV63" s="29"/>
      <c r="BW63" s="29"/>
      <c r="BX63" s="109"/>
      <c r="BZ63" s="86"/>
      <c r="CA63" s="138"/>
      <c r="CM63" s="29"/>
      <c r="CN63" s="29"/>
      <c r="CO63" s="29"/>
      <c r="CP63" s="29"/>
      <c r="CQ63" s="29"/>
      <c r="CR63" s="29"/>
      <c r="CS63" s="29"/>
      <c r="CT63" s="29"/>
      <c r="CU63" s="86"/>
      <c r="CV63" s="138"/>
      <c r="CW63" s="425"/>
      <c r="CX63" s="423"/>
      <c r="CY63" s="31" t="s">
        <v>579</v>
      </c>
      <c r="DB63" s="29"/>
      <c r="DD63" s="409"/>
      <c r="DE63" s="409"/>
      <c r="DF63" s="424"/>
      <c r="DG63" s="425"/>
      <c r="DH63" s="66" t="s">
        <v>825</v>
      </c>
      <c r="DI63" s="137">
        <f t="shared" si="32"/>
        <v>2423.49</v>
      </c>
      <c r="DK63" s="108"/>
      <c r="DL63" s="461" t="s">
        <v>1356</v>
      </c>
      <c r="DM63" s="462" t="s">
        <v>969</v>
      </c>
      <c r="DN63" s="818">
        <f>VLOOKUP("TV COMISS TRIB JUST 06 40H",RHE,10,FALSE)</f>
        <v>2423.49</v>
      </c>
      <c r="DO63" s="29"/>
      <c r="DP63" s="1333" t="s">
        <v>533</v>
      </c>
      <c r="DQ63" s="1333"/>
      <c r="DR63" s="1333"/>
      <c r="DS63" s="1334"/>
      <c r="DU63" s="66" t="s">
        <v>801</v>
      </c>
      <c r="DV63" s="137">
        <f t="shared" si="38"/>
        <v>850.21</v>
      </c>
      <c r="EH63" s="86"/>
      <c r="EI63" s="138"/>
      <c r="FD63" s="86"/>
      <c r="FE63" s="138"/>
      <c r="FN63" s="30"/>
      <c r="FV63" s="29"/>
      <c r="FW63" s="30"/>
    </row>
    <row r="64" spans="19:179" ht="12" customHeight="1">
      <c r="S64" s="86"/>
      <c r="T64" s="138"/>
      <c r="AD64" s="86"/>
      <c r="AE64" s="138"/>
      <c r="AO64" s="66" t="s">
        <v>826</v>
      </c>
      <c r="AP64" s="137">
        <f t="shared" si="30"/>
        <v>3512.02</v>
      </c>
      <c r="AR64" s="108"/>
      <c r="AS64" s="500" t="s">
        <v>1357</v>
      </c>
      <c r="AT64" s="465" t="s">
        <v>1160</v>
      </c>
      <c r="AU64" s="820">
        <f>VLOOKUP("TV COMISS TRIB CONT 09 40H",RHE,10,FALSE)</f>
        <v>3512.02</v>
      </c>
      <c r="AW64" s="1292" t="s">
        <v>47</v>
      </c>
      <c r="AX64" s="1292"/>
      <c r="AY64" s="1292"/>
      <c r="AZ64" s="1293"/>
      <c r="BA64" s="29"/>
      <c r="BB64" s="29"/>
      <c r="BC64" s="29"/>
      <c r="BD64" s="131"/>
      <c r="BE64" s="29"/>
      <c r="BF64" s="29"/>
      <c r="BH64" s="29"/>
      <c r="BI64" s="30"/>
      <c r="BJ64" s="30"/>
      <c r="BK64" s="29"/>
      <c r="BL64" s="29"/>
      <c r="BM64" s="29"/>
      <c r="BN64" s="29"/>
      <c r="BO64" s="29"/>
      <c r="BP64" s="30"/>
      <c r="BQ64" s="143" t="s">
        <v>1357</v>
      </c>
      <c r="BR64" s="52" t="str">
        <f t="shared" si="4"/>
        <v>CC TC 05 </v>
      </c>
      <c r="BS64" s="29"/>
      <c r="BT64" s="29"/>
      <c r="BU64" s="29"/>
      <c r="BV64" s="29"/>
      <c r="BW64" s="29"/>
      <c r="BX64" s="109"/>
      <c r="BZ64" s="86"/>
      <c r="CA64" s="138"/>
      <c r="CM64" s="29"/>
      <c r="CN64" s="29"/>
      <c r="CO64" s="29"/>
      <c r="CP64" s="29"/>
      <c r="CQ64" s="29"/>
      <c r="CR64" s="29"/>
      <c r="CS64" s="29"/>
      <c r="CT64" s="29"/>
      <c r="CU64" s="86"/>
      <c r="CV64" s="138"/>
      <c r="CW64" s="425"/>
      <c r="CX64" s="427"/>
      <c r="CY64" s="428"/>
      <c r="CZ64" s="428"/>
      <c r="DA64" s="428"/>
      <c r="DB64" s="428"/>
      <c r="DC64" s="428"/>
      <c r="DD64" s="428"/>
      <c r="DE64" s="428"/>
      <c r="DF64" s="429"/>
      <c r="DG64" s="425"/>
      <c r="DH64" s="66" t="s">
        <v>826</v>
      </c>
      <c r="DI64" s="137">
        <f>DN64</f>
        <v>2634.12</v>
      </c>
      <c r="DK64" s="108"/>
      <c r="DL64" s="464" t="s">
        <v>1357</v>
      </c>
      <c r="DM64" s="465" t="s">
        <v>970</v>
      </c>
      <c r="DN64" s="820">
        <f>VLOOKUP("TV COMISS TRIB JUST 07 40H",RHE,10,FALSE)</f>
        <v>2634.12</v>
      </c>
      <c r="DO64" s="29"/>
      <c r="DP64" s="407"/>
      <c r="DQ64" s="407"/>
      <c r="DR64" s="407"/>
      <c r="DS64" s="408"/>
      <c r="DU64" s="66"/>
      <c r="DV64" s="137"/>
      <c r="EH64" s="86"/>
      <c r="EI64" s="138"/>
      <c r="FD64" s="86"/>
      <c r="FE64" s="138"/>
      <c r="FN64" s="30"/>
      <c r="FO64" s="112"/>
      <c r="FP64" s="29"/>
      <c r="FQ64" s="29"/>
      <c r="FR64" s="112"/>
      <c r="FS64" s="29"/>
      <c r="FT64" s="29"/>
      <c r="FU64" s="30"/>
      <c r="FV64" s="29"/>
      <c r="FW64" s="30"/>
    </row>
    <row r="65" spans="19:161" ht="12">
      <c r="S65" s="86"/>
      <c r="T65" s="138"/>
      <c r="AD65" s="86"/>
      <c r="AE65" s="138"/>
      <c r="AO65" s="66" t="s">
        <v>827</v>
      </c>
      <c r="AP65" s="137">
        <f aca="true" t="shared" si="39" ref="AP65:AP107">AY9</f>
        <v>3823.95</v>
      </c>
      <c r="AR65" s="114"/>
      <c r="AS65" s="135"/>
      <c r="AT65" s="115"/>
      <c r="AU65" s="115"/>
      <c r="AV65" s="115"/>
      <c r="AW65" s="668"/>
      <c r="AX65" s="668"/>
      <c r="AY65" s="668"/>
      <c r="AZ65" s="669"/>
      <c r="BB65" s="29"/>
      <c r="BC65" s="29"/>
      <c r="BD65" s="131"/>
      <c r="BE65" s="29"/>
      <c r="BF65" s="29"/>
      <c r="BP65" s="114"/>
      <c r="BQ65" s="115"/>
      <c r="BR65" s="115"/>
      <c r="BS65" s="115"/>
      <c r="BT65" s="115"/>
      <c r="BU65" s="115"/>
      <c r="BV65" s="115"/>
      <c r="BW65" s="115"/>
      <c r="BX65" s="116"/>
      <c r="BZ65" s="86"/>
      <c r="CA65" s="138"/>
      <c r="CM65" s="29"/>
      <c r="CN65" s="29"/>
      <c r="CO65" s="29"/>
      <c r="CP65" s="29"/>
      <c r="CQ65" s="29"/>
      <c r="CR65" s="29"/>
      <c r="CS65" s="29"/>
      <c r="CT65" s="29"/>
      <c r="CU65" s="86"/>
      <c r="CV65" s="138"/>
      <c r="CW65" s="409"/>
      <c r="CX65" s="409"/>
      <c r="CY65" s="409"/>
      <c r="CZ65" s="409"/>
      <c r="DA65" s="409"/>
      <c r="DB65" s="409"/>
      <c r="DC65" s="409"/>
      <c r="DD65" s="409"/>
      <c r="DE65" s="409"/>
      <c r="DF65" s="409"/>
      <c r="DG65" s="409"/>
      <c r="DH65" s="66" t="s">
        <v>827</v>
      </c>
      <c r="DI65" s="137">
        <f aca="true" t="shared" si="40" ref="DI65:DI107">DR9</f>
        <v>3683.54</v>
      </c>
      <c r="DK65" s="114"/>
      <c r="DL65" s="135"/>
      <c r="DM65" s="115"/>
      <c r="DN65" s="115"/>
      <c r="DO65" s="115"/>
      <c r="DP65" s="135"/>
      <c r="DQ65" s="113"/>
      <c r="DR65" s="115"/>
      <c r="DS65" s="116"/>
      <c r="DU65" s="66" t="s">
        <v>802</v>
      </c>
      <c r="DV65" s="137">
        <f aca="true" t="shared" si="41" ref="DV65:DV92">EE18</f>
        <v>1090.37</v>
      </c>
      <c r="EH65" s="86"/>
      <c r="EI65" s="138"/>
      <c r="FD65" s="86"/>
      <c r="FE65" s="138"/>
    </row>
    <row r="66" spans="8:161" ht="12">
      <c r="H66" s="81"/>
      <c r="I66" s="81"/>
      <c r="S66" s="86"/>
      <c r="T66" s="138"/>
      <c r="AD66" s="86"/>
      <c r="AE66" s="138"/>
      <c r="AO66" s="66" t="s">
        <v>800</v>
      </c>
      <c r="AP66" s="137">
        <f t="shared" si="39"/>
        <v>2971.7</v>
      </c>
      <c r="BB66" s="29"/>
      <c r="BC66" s="29"/>
      <c r="BD66" s="131"/>
      <c r="BE66" s="29"/>
      <c r="BF66" s="29"/>
      <c r="BZ66" s="86"/>
      <c r="CA66" s="138"/>
      <c r="CM66" s="29"/>
      <c r="CN66" s="29"/>
      <c r="CO66" s="29"/>
      <c r="CP66" s="29"/>
      <c r="CQ66" s="29"/>
      <c r="CR66" s="29"/>
      <c r="CS66" s="29"/>
      <c r="CT66" s="29"/>
      <c r="CU66" s="86"/>
      <c r="CV66" s="138"/>
      <c r="CW66" s="409"/>
      <c r="CX66" s="409"/>
      <c r="CY66" s="409"/>
      <c r="CZ66" s="409"/>
      <c r="DA66" s="409"/>
      <c r="DB66" s="409"/>
      <c r="DC66" s="409"/>
      <c r="DD66" s="409"/>
      <c r="DE66" s="409"/>
      <c r="DF66" s="409"/>
      <c r="DG66" s="409"/>
      <c r="DH66" s="66" t="s">
        <v>800</v>
      </c>
      <c r="DI66" s="137">
        <f t="shared" si="40"/>
        <v>3970.11</v>
      </c>
      <c r="DU66" s="66" t="s">
        <v>803</v>
      </c>
      <c r="DV66" s="137">
        <f t="shared" si="41"/>
        <v>1247.56</v>
      </c>
      <c r="EH66" s="86"/>
      <c r="EI66" s="138"/>
      <c r="FD66" s="86"/>
      <c r="FE66" s="138"/>
    </row>
    <row r="67" spans="8:161" ht="12">
      <c r="H67" s="81"/>
      <c r="I67" s="81"/>
      <c r="S67" s="86"/>
      <c r="T67" s="138"/>
      <c r="AD67" s="86"/>
      <c r="AE67" s="138"/>
      <c r="AO67" s="66" t="s">
        <v>801</v>
      </c>
      <c r="AP67" s="137">
        <f t="shared" si="39"/>
        <v>4303.45</v>
      </c>
      <c r="BB67" s="29"/>
      <c r="BC67" s="29"/>
      <c r="BD67" s="131"/>
      <c r="BE67" s="29"/>
      <c r="BF67" s="29"/>
      <c r="BZ67" s="86"/>
      <c r="CA67" s="138"/>
      <c r="CM67" s="29"/>
      <c r="CN67" s="29"/>
      <c r="CO67" s="29"/>
      <c r="CP67" s="29"/>
      <c r="CQ67" s="29"/>
      <c r="CR67" s="29"/>
      <c r="CS67" s="29"/>
      <c r="CT67" s="29"/>
      <c r="CU67" s="86"/>
      <c r="CV67" s="138"/>
      <c r="CW67" s="409"/>
      <c r="CX67" s="409"/>
      <c r="CY67" s="409"/>
      <c r="CZ67" s="409"/>
      <c r="DA67" s="409"/>
      <c r="DB67" s="409"/>
      <c r="DC67" s="409"/>
      <c r="DD67" s="409"/>
      <c r="DE67" s="409"/>
      <c r="DF67" s="409"/>
      <c r="DG67" s="409"/>
      <c r="DH67" s="66" t="s">
        <v>801</v>
      </c>
      <c r="DI67" s="137">
        <f t="shared" si="40"/>
        <v>821.32</v>
      </c>
      <c r="DU67" s="66" t="s">
        <v>96</v>
      </c>
      <c r="DV67" s="137">
        <f t="shared" si="41"/>
        <v>1389.04</v>
      </c>
      <c r="EH67" s="86"/>
      <c r="EI67" s="138"/>
      <c r="FD67" s="86"/>
      <c r="FE67" s="138"/>
    </row>
    <row r="68" spans="8:161" ht="12">
      <c r="H68" s="81"/>
      <c r="I68" s="81"/>
      <c r="S68" s="86"/>
      <c r="T68" s="138"/>
      <c r="AD68" s="86"/>
      <c r="AE68" s="138"/>
      <c r="AO68" s="66" t="s">
        <v>802</v>
      </c>
      <c r="AP68" s="137">
        <f t="shared" si="39"/>
        <v>3813</v>
      </c>
      <c r="BB68" s="29"/>
      <c r="BC68" s="29"/>
      <c r="BD68" s="131"/>
      <c r="BE68" s="29"/>
      <c r="BF68" s="29"/>
      <c r="BZ68" s="86"/>
      <c r="CA68" s="138"/>
      <c r="CM68" s="29"/>
      <c r="CN68" s="29"/>
      <c r="CO68" s="29"/>
      <c r="CP68" s="29"/>
      <c r="CQ68" s="29"/>
      <c r="CR68" s="29"/>
      <c r="CS68" s="29"/>
      <c r="CT68" s="29"/>
      <c r="CU68" s="86"/>
      <c r="CV68" s="138"/>
      <c r="CW68" s="409"/>
      <c r="CX68" s="409"/>
      <c r="CY68" s="409"/>
      <c r="CZ68" s="409"/>
      <c r="DA68" s="409"/>
      <c r="DB68" s="409"/>
      <c r="DC68" s="409"/>
      <c r="DD68" s="409"/>
      <c r="DE68" s="409"/>
      <c r="DF68" s="409"/>
      <c r="DG68" s="409"/>
      <c r="DH68" s="66" t="s">
        <v>802</v>
      </c>
      <c r="DI68" s="137">
        <f t="shared" si="40"/>
        <v>107.31</v>
      </c>
      <c r="DJ68" s="81"/>
      <c r="DK68" s="81"/>
      <c r="DL68" s="171"/>
      <c r="DM68" s="81"/>
      <c r="DN68" s="81"/>
      <c r="DO68" s="81"/>
      <c r="DP68" s="171"/>
      <c r="DQ68" s="81"/>
      <c r="DR68" s="81"/>
      <c r="DS68" s="81"/>
      <c r="DT68" s="81"/>
      <c r="DU68" s="66" t="s">
        <v>97</v>
      </c>
      <c r="DV68" s="137">
        <f t="shared" si="41"/>
        <v>1771.88</v>
      </c>
      <c r="DW68" s="81"/>
      <c r="EH68" s="86"/>
      <c r="EI68" s="138"/>
      <c r="FD68" s="86"/>
      <c r="FE68" s="138"/>
    </row>
    <row r="69" spans="8:161" ht="12">
      <c r="H69" s="81"/>
      <c r="I69" s="81"/>
      <c r="S69" s="86"/>
      <c r="T69" s="138"/>
      <c r="AD69" s="86"/>
      <c r="AE69" s="138"/>
      <c r="AO69" s="66" t="s">
        <v>803</v>
      </c>
      <c r="AP69" s="137">
        <f t="shared" si="39"/>
        <v>4051.8</v>
      </c>
      <c r="BB69" s="29"/>
      <c r="BC69" s="29"/>
      <c r="BD69" s="131"/>
      <c r="BE69" s="29"/>
      <c r="BF69" s="29"/>
      <c r="BZ69" s="86"/>
      <c r="CA69" s="138"/>
      <c r="CM69" s="29"/>
      <c r="CN69" s="29"/>
      <c r="CO69" s="29"/>
      <c r="CP69" s="29"/>
      <c r="CQ69" s="29"/>
      <c r="CR69" s="29"/>
      <c r="CS69" s="29"/>
      <c r="CT69" s="29"/>
      <c r="CU69" s="86"/>
      <c r="CV69" s="138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66" t="s">
        <v>803</v>
      </c>
      <c r="DI69" s="137">
        <f t="shared" si="40"/>
        <v>155.15</v>
      </c>
      <c r="DJ69" s="81"/>
      <c r="DK69" s="81"/>
      <c r="DL69" s="171"/>
      <c r="DM69" s="81"/>
      <c r="DN69" s="81"/>
      <c r="DO69" s="81"/>
      <c r="DP69" s="171"/>
      <c r="DQ69" s="81"/>
      <c r="DR69" s="81"/>
      <c r="DS69" s="81"/>
      <c r="DT69" s="81"/>
      <c r="DU69" s="66" t="s">
        <v>98</v>
      </c>
      <c r="DV69" s="137">
        <f t="shared" si="41"/>
        <v>532.2429999999999</v>
      </c>
      <c r="DW69" s="81"/>
      <c r="EH69" s="86"/>
      <c r="EI69" s="138"/>
      <c r="FD69" s="86"/>
      <c r="FE69" s="138"/>
    </row>
    <row r="70" spans="8:161" ht="12">
      <c r="H70" s="81"/>
      <c r="I70" s="81"/>
      <c r="S70" s="86"/>
      <c r="T70" s="138"/>
      <c r="AD70" s="86"/>
      <c r="AE70" s="138"/>
      <c r="AO70" s="66" t="s">
        <v>96</v>
      </c>
      <c r="AP70" s="137">
        <f t="shared" si="39"/>
        <v>4288</v>
      </c>
      <c r="BZ70" s="86"/>
      <c r="CA70" s="138"/>
      <c r="CM70" s="29"/>
      <c r="CN70" s="29"/>
      <c r="CO70" s="29"/>
      <c r="CP70" s="29"/>
      <c r="CQ70" s="29"/>
      <c r="CR70" s="29"/>
      <c r="CS70" s="29"/>
      <c r="CT70" s="29"/>
      <c r="CU70" s="86"/>
      <c r="CV70" s="138"/>
      <c r="CW70" s="409"/>
      <c r="CX70" s="409"/>
      <c r="CY70" s="409"/>
      <c r="CZ70" s="409"/>
      <c r="DA70" s="409"/>
      <c r="DB70" s="409"/>
      <c r="DC70" s="409"/>
      <c r="DD70" s="409"/>
      <c r="DE70" s="409"/>
      <c r="DF70" s="409"/>
      <c r="DG70" s="409"/>
      <c r="DH70" s="66" t="s">
        <v>96</v>
      </c>
      <c r="DI70" s="137">
        <f t="shared" si="40"/>
        <v>178.77</v>
      </c>
      <c r="DJ70" s="81"/>
      <c r="DK70" s="81"/>
      <c r="DL70" s="171"/>
      <c r="DM70" s="81"/>
      <c r="DN70" s="81"/>
      <c r="DO70" s="81"/>
      <c r="DP70" s="171"/>
      <c r="DQ70" s="81"/>
      <c r="DR70" s="81"/>
      <c r="DS70" s="81"/>
      <c r="DT70" s="81"/>
      <c r="DU70" s="66" t="s">
        <v>99</v>
      </c>
      <c r="DV70" s="137">
        <f t="shared" si="41"/>
        <v>611.938</v>
      </c>
      <c r="DW70" s="81"/>
      <c r="EH70" s="86"/>
      <c r="EI70" s="138"/>
      <c r="FD70" s="86"/>
      <c r="FE70" s="138"/>
    </row>
    <row r="71" spans="8:161" ht="12">
      <c r="H71" s="81"/>
      <c r="I71" s="81"/>
      <c r="S71" s="86"/>
      <c r="T71" s="138"/>
      <c r="AD71" s="86"/>
      <c r="AE71" s="138"/>
      <c r="AO71" s="66" t="s">
        <v>97</v>
      </c>
      <c r="AP71" s="137">
        <f t="shared" si="39"/>
        <v>4389.2</v>
      </c>
      <c r="BZ71" s="86"/>
      <c r="CA71" s="138"/>
      <c r="CM71" s="29"/>
      <c r="CN71" s="29"/>
      <c r="CO71" s="29"/>
      <c r="CP71" s="29"/>
      <c r="CQ71" s="29"/>
      <c r="CR71" s="29"/>
      <c r="CS71" s="29"/>
      <c r="CT71" s="29"/>
      <c r="CU71" s="86"/>
      <c r="CV71" s="138"/>
      <c r="CW71" s="409"/>
      <c r="CX71" s="409"/>
      <c r="CY71" s="409"/>
      <c r="CZ71" s="409"/>
      <c r="DA71" s="409"/>
      <c r="DB71" s="409"/>
      <c r="DC71" s="409"/>
      <c r="DD71" s="409"/>
      <c r="DE71" s="409"/>
      <c r="DF71" s="409"/>
      <c r="DG71" s="409"/>
      <c r="DH71" s="66" t="s">
        <v>97</v>
      </c>
      <c r="DI71" s="137">
        <f t="shared" si="40"/>
        <v>317.38</v>
      </c>
      <c r="DJ71" s="81"/>
      <c r="DK71" s="81"/>
      <c r="DL71" s="171"/>
      <c r="DM71" s="81"/>
      <c r="DN71" s="81"/>
      <c r="DO71" s="81"/>
      <c r="DP71" s="171"/>
      <c r="DQ71" s="81"/>
      <c r="DR71" s="81"/>
      <c r="DS71" s="81"/>
      <c r="DT71" s="81"/>
      <c r="DU71" s="66" t="s">
        <v>100</v>
      </c>
      <c r="DV71" s="137">
        <f t="shared" si="41"/>
        <v>650.58</v>
      </c>
      <c r="DW71" s="81"/>
      <c r="EH71" s="86"/>
      <c r="EI71" s="138"/>
      <c r="FD71" s="86"/>
      <c r="FE71" s="138"/>
    </row>
    <row r="72" spans="8:161" ht="12">
      <c r="H72" s="81"/>
      <c r="I72" s="81"/>
      <c r="S72" s="86"/>
      <c r="T72" s="138"/>
      <c r="AD72" s="86"/>
      <c r="AE72" s="138"/>
      <c r="AO72" s="66" t="s">
        <v>98</v>
      </c>
      <c r="AP72" s="137">
        <f t="shared" si="39"/>
        <v>1844.87</v>
      </c>
      <c r="BZ72" s="86"/>
      <c r="CA72" s="138"/>
      <c r="CM72" s="29"/>
      <c r="CN72" s="29"/>
      <c r="CO72" s="29"/>
      <c r="CP72" s="29"/>
      <c r="CQ72" s="29"/>
      <c r="CR72" s="29"/>
      <c r="CS72" s="29"/>
      <c r="CT72" s="29"/>
      <c r="CU72" s="86"/>
      <c r="CV72" s="138"/>
      <c r="CW72" s="409"/>
      <c r="CX72" s="409"/>
      <c r="CY72" s="409"/>
      <c r="CZ72" s="409"/>
      <c r="DA72" s="409"/>
      <c r="DB72" s="409"/>
      <c r="DC72" s="409"/>
      <c r="DD72" s="409"/>
      <c r="DE72" s="409"/>
      <c r="DF72" s="409"/>
      <c r="DG72" s="409"/>
      <c r="DH72" s="66" t="s">
        <v>98</v>
      </c>
      <c r="DI72" s="137">
        <f t="shared" si="40"/>
        <v>499.14</v>
      </c>
      <c r="DJ72" s="81"/>
      <c r="DK72" s="81"/>
      <c r="DL72" s="171"/>
      <c r="DM72" s="81"/>
      <c r="DN72" s="81"/>
      <c r="DO72" s="81"/>
      <c r="DP72" s="171"/>
      <c r="DQ72" s="81"/>
      <c r="DR72" s="81"/>
      <c r="DS72" s="81"/>
      <c r="DT72" s="81"/>
      <c r="DU72" s="66" t="s">
        <v>101</v>
      </c>
      <c r="DV72" s="137">
        <f t="shared" si="41"/>
        <v>768.8</v>
      </c>
      <c r="DW72" s="81"/>
      <c r="EH72" s="86"/>
      <c r="EI72" s="138"/>
      <c r="FD72" s="86"/>
      <c r="FE72" s="138"/>
    </row>
    <row r="73" spans="8:161" ht="12">
      <c r="H73" s="81"/>
      <c r="I73" s="81"/>
      <c r="S73" s="86"/>
      <c r="T73" s="138"/>
      <c r="AD73" s="86"/>
      <c r="AE73" s="138"/>
      <c r="AO73" s="66" t="s">
        <v>99</v>
      </c>
      <c r="AP73" s="137">
        <f t="shared" si="39"/>
        <v>2049.85</v>
      </c>
      <c r="BZ73" s="86"/>
      <c r="CA73" s="138"/>
      <c r="CM73" s="29"/>
      <c r="CN73" s="29"/>
      <c r="CO73" s="29"/>
      <c r="CP73" s="29"/>
      <c r="CQ73" s="29"/>
      <c r="CR73" s="29"/>
      <c r="CS73" s="29"/>
      <c r="CT73" s="29"/>
      <c r="CU73" s="86"/>
      <c r="CV73" s="138"/>
      <c r="CW73" s="409"/>
      <c r="CX73" s="409"/>
      <c r="CY73" s="409"/>
      <c r="CZ73" s="409"/>
      <c r="DA73" s="409"/>
      <c r="DB73" s="409"/>
      <c r="DC73" s="409"/>
      <c r="DD73" s="409"/>
      <c r="DE73" s="409"/>
      <c r="DF73" s="409"/>
      <c r="DG73" s="409"/>
      <c r="DH73" s="66" t="s">
        <v>99</v>
      </c>
      <c r="DI73" s="137">
        <f t="shared" si="40"/>
        <v>555.74</v>
      </c>
      <c r="DJ73" s="81"/>
      <c r="DK73" s="81"/>
      <c r="DL73" s="171"/>
      <c r="DM73" s="81"/>
      <c r="DN73" s="81"/>
      <c r="DO73" s="81"/>
      <c r="DP73" s="171"/>
      <c r="DQ73" s="81"/>
      <c r="DR73" s="81"/>
      <c r="DS73" s="81"/>
      <c r="DT73" s="81"/>
      <c r="DU73" s="66" t="s">
        <v>102</v>
      </c>
      <c r="DV73" s="137">
        <f t="shared" si="41"/>
        <v>1023.1089999999999</v>
      </c>
      <c r="DW73" s="81"/>
      <c r="EH73" s="86"/>
      <c r="EI73" s="138"/>
      <c r="FD73" s="86"/>
      <c r="FE73" s="138"/>
    </row>
    <row r="74" spans="8:161" ht="12">
      <c r="H74" s="81"/>
      <c r="I74" s="81"/>
      <c r="S74" s="86"/>
      <c r="T74" s="138"/>
      <c r="AD74" s="86"/>
      <c r="AE74" s="138"/>
      <c r="AO74" s="66" t="s">
        <v>100</v>
      </c>
      <c r="AP74" s="137">
        <f t="shared" si="39"/>
        <v>5617.73</v>
      </c>
      <c r="BZ74" s="86"/>
      <c r="CA74" s="138"/>
      <c r="CM74" s="29"/>
      <c r="CN74" s="29"/>
      <c r="CO74" s="29"/>
      <c r="CP74" s="29"/>
      <c r="CQ74" s="29"/>
      <c r="CR74" s="29"/>
      <c r="CS74" s="29"/>
      <c r="CT74" s="29"/>
      <c r="CU74" s="86"/>
      <c r="CV74" s="138"/>
      <c r="CW74" s="409"/>
      <c r="CX74" s="409"/>
      <c r="CY74" s="409"/>
      <c r="CZ74" s="409"/>
      <c r="DA74" s="409"/>
      <c r="DB74" s="409"/>
      <c r="DC74" s="409"/>
      <c r="DD74" s="409"/>
      <c r="DE74" s="409"/>
      <c r="DF74" s="409"/>
      <c r="DG74" s="409"/>
      <c r="DH74" s="66" t="s">
        <v>100</v>
      </c>
      <c r="DI74" s="137">
        <f t="shared" si="40"/>
        <v>708.97</v>
      </c>
      <c r="DJ74" s="81"/>
      <c r="DK74" s="81"/>
      <c r="DL74" s="171"/>
      <c r="DM74" s="81"/>
      <c r="DN74" s="81"/>
      <c r="DO74" s="81"/>
      <c r="DP74" s="171"/>
      <c r="DQ74" s="81"/>
      <c r="DR74" s="81"/>
      <c r="DS74" s="81"/>
      <c r="DT74" s="81"/>
      <c r="DU74" s="66" t="s">
        <v>103</v>
      </c>
      <c r="DV74" s="137">
        <f t="shared" si="41"/>
        <v>1159.062</v>
      </c>
      <c r="DW74" s="81"/>
      <c r="EH74" s="86"/>
      <c r="EI74" s="138"/>
      <c r="FD74" s="86"/>
      <c r="FE74" s="138"/>
    </row>
    <row r="75" spans="8:161" ht="12">
      <c r="H75" s="81"/>
      <c r="I75" s="81"/>
      <c r="S75" s="86"/>
      <c r="T75" s="138"/>
      <c r="AD75" s="86"/>
      <c r="AE75" s="138"/>
      <c r="AO75" s="66" t="s">
        <v>101</v>
      </c>
      <c r="AP75" s="137">
        <f t="shared" si="39"/>
        <v>6586.9</v>
      </c>
      <c r="BZ75" s="86"/>
      <c r="CA75" s="138"/>
      <c r="CM75" s="29"/>
      <c r="CN75" s="29"/>
      <c r="CO75" s="29"/>
      <c r="CP75" s="29"/>
      <c r="CQ75" s="29"/>
      <c r="CR75" s="29"/>
      <c r="CS75" s="29"/>
      <c r="CT75" s="29"/>
      <c r="CU75" s="86"/>
      <c r="CV75" s="138"/>
      <c r="CW75" s="409"/>
      <c r="CX75" s="409"/>
      <c r="CY75" s="409"/>
      <c r="CZ75" s="409"/>
      <c r="DA75" s="409"/>
      <c r="DB75" s="409"/>
      <c r="DC75" s="409"/>
      <c r="DD75" s="409"/>
      <c r="DE75" s="409"/>
      <c r="DF75" s="409"/>
      <c r="DG75" s="409"/>
      <c r="DH75" s="66" t="s">
        <v>101</v>
      </c>
      <c r="DI75" s="137">
        <f t="shared" si="40"/>
        <v>308.1</v>
      </c>
      <c r="DJ75" s="81"/>
      <c r="DK75" s="81"/>
      <c r="DL75" s="171"/>
      <c r="DM75" s="81"/>
      <c r="DN75" s="81"/>
      <c r="DO75" s="81"/>
      <c r="DP75" s="171"/>
      <c r="DQ75" s="81"/>
      <c r="DR75" s="81"/>
      <c r="DS75" s="81"/>
      <c r="DT75" s="81"/>
      <c r="DU75" s="66" t="s">
        <v>104</v>
      </c>
      <c r="DV75" s="137">
        <f t="shared" si="41"/>
        <v>1294.7389999999998</v>
      </c>
      <c r="DW75" s="81"/>
      <c r="EH75" s="86"/>
      <c r="EI75" s="138"/>
      <c r="FD75" s="86"/>
      <c r="FE75" s="138"/>
    </row>
    <row r="76" spans="8:161" ht="12">
      <c r="H76" s="81"/>
      <c r="I76" s="81"/>
      <c r="S76" s="86"/>
      <c r="T76" s="138"/>
      <c r="AD76" s="86"/>
      <c r="AE76" s="138"/>
      <c r="AO76" s="66" t="s">
        <v>102</v>
      </c>
      <c r="AP76" s="137">
        <f t="shared" si="39"/>
        <v>1882.86</v>
      </c>
      <c r="BZ76" s="86"/>
      <c r="CA76" s="138"/>
      <c r="CM76" s="29"/>
      <c r="CN76" s="29"/>
      <c r="CO76" s="29"/>
      <c r="CP76" s="29"/>
      <c r="CQ76" s="29"/>
      <c r="CR76" s="29"/>
      <c r="CS76" s="29"/>
      <c r="CT76" s="29"/>
      <c r="CU76" s="86"/>
      <c r="CV76" s="138"/>
      <c r="CW76" s="409"/>
      <c r="CX76" s="409"/>
      <c r="CY76" s="409"/>
      <c r="CZ76" s="409"/>
      <c r="DA76" s="409"/>
      <c r="DB76" s="409"/>
      <c r="DC76" s="409"/>
      <c r="DD76" s="409"/>
      <c r="DE76" s="409"/>
      <c r="DF76" s="409"/>
      <c r="DG76" s="409"/>
      <c r="DH76" s="66" t="s">
        <v>102</v>
      </c>
      <c r="DI76" s="137">
        <f t="shared" si="40"/>
        <v>495.25</v>
      </c>
      <c r="DJ76" s="81"/>
      <c r="DK76" s="81"/>
      <c r="DL76" s="171"/>
      <c r="DM76" s="81"/>
      <c r="DN76" s="81"/>
      <c r="DO76" s="81"/>
      <c r="DP76" s="171"/>
      <c r="DQ76" s="81"/>
      <c r="DR76" s="81"/>
      <c r="DS76" s="81"/>
      <c r="DT76" s="81"/>
      <c r="DU76" s="66" t="s">
        <v>105</v>
      </c>
      <c r="DV76" s="137">
        <f t="shared" si="41"/>
        <v>1955.483</v>
      </c>
      <c r="DW76" s="81"/>
      <c r="EH76" s="86"/>
      <c r="EI76" s="138"/>
      <c r="FD76" s="86"/>
      <c r="FE76" s="138"/>
    </row>
    <row r="77" spans="8:161" ht="12">
      <c r="H77" s="81"/>
      <c r="I77" s="81"/>
      <c r="S77" s="86"/>
      <c r="T77" s="138"/>
      <c r="AD77" s="86"/>
      <c r="AE77" s="138"/>
      <c r="AO77" s="66" t="s">
        <v>103</v>
      </c>
      <c r="AP77" s="137">
        <f t="shared" si="39"/>
        <v>2205.52</v>
      </c>
      <c r="BZ77" s="86"/>
      <c r="CA77" s="138"/>
      <c r="CM77" s="29"/>
      <c r="CN77" s="29"/>
      <c r="CO77" s="29"/>
      <c r="CP77" s="29"/>
      <c r="CQ77" s="29"/>
      <c r="CR77" s="29"/>
      <c r="CS77" s="29"/>
      <c r="CT77" s="29"/>
      <c r="CU77" s="86"/>
      <c r="CV77" s="138"/>
      <c r="CW77" s="409"/>
      <c r="CX77" s="409"/>
      <c r="CY77" s="409"/>
      <c r="CZ77" s="409"/>
      <c r="DA77" s="409"/>
      <c r="DB77" s="409"/>
      <c r="DC77" s="409"/>
      <c r="DD77" s="409"/>
      <c r="DE77" s="409"/>
      <c r="DF77" s="409"/>
      <c r="DG77" s="409"/>
      <c r="DH77" s="66" t="s">
        <v>103</v>
      </c>
      <c r="DI77" s="137">
        <f t="shared" si="40"/>
        <v>819.74</v>
      </c>
      <c r="DJ77" s="81"/>
      <c r="DK77" s="81"/>
      <c r="DL77" s="171"/>
      <c r="DM77" s="81"/>
      <c r="DN77" s="81"/>
      <c r="DO77" s="81"/>
      <c r="DP77" s="171"/>
      <c r="DQ77" s="81"/>
      <c r="DR77" s="81"/>
      <c r="DS77" s="81"/>
      <c r="DT77" s="81"/>
      <c r="DU77" s="66" t="s">
        <v>106</v>
      </c>
      <c r="DV77" s="137">
        <f t="shared" si="41"/>
        <v>2507.8509999999997</v>
      </c>
      <c r="DW77" s="81"/>
      <c r="EH77" s="86"/>
      <c r="EI77" s="138"/>
      <c r="FD77" s="86"/>
      <c r="FE77" s="138"/>
    </row>
    <row r="78" spans="8:161" ht="12">
      <c r="H78" s="81"/>
      <c r="I78" s="81"/>
      <c r="S78" s="86"/>
      <c r="T78" s="138"/>
      <c r="AD78" s="86"/>
      <c r="AE78" s="138"/>
      <c r="AO78" s="66" t="s">
        <v>104</v>
      </c>
      <c r="AP78" s="137">
        <f t="shared" si="39"/>
        <v>2581.22</v>
      </c>
      <c r="BZ78" s="86"/>
      <c r="CA78" s="138"/>
      <c r="CM78" s="29"/>
      <c r="CN78" s="29"/>
      <c r="CO78" s="29"/>
      <c r="CP78" s="29"/>
      <c r="CQ78" s="29"/>
      <c r="CR78" s="29"/>
      <c r="CS78" s="29"/>
      <c r="CT78" s="29"/>
      <c r="CU78" s="86"/>
      <c r="CV78" s="138"/>
      <c r="CW78" s="409"/>
      <c r="CX78" s="409"/>
      <c r="CY78" s="409"/>
      <c r="CZ78" s="409"/>
      <c r="DA78" s="409"/>
      <c r="DB78" s="409"/>
      <c r="DC78" s="409"/>
      <c r="DD78" s="409"/>
      <c r="DE78" s="409"/>
      <c r="DF78" s="409"/>
      <c r="DG78" s="409"/>
      <c r="DH78" s="66" t="s">
        <v>104</v>
      </c>
      <c r="DI78" s="137">
        <f t="shared" si="40"/>
        <v>902.33</v>
      </c>
      <c r="DJ78" s="81"/>
      <c r="DK78" s="81"/>
      <c r="DL78" s="171"/>
      <c r="DM78" s="81"/>
      <c r="DN78" s="81"/>
      <c r="DO78" s="81"/>
      <c r="DP78" s="171"/>
      <c r="DQ78" s="81"/>
      <c r="DR78" s="81"/>
      <c r="DS78" s="81"/>
      <c r="DT78" s="81"/>
      <c r="DU78" s="66" t="s">
        <v>107</v>
      </c>
      <c r="DV78" s="137">
        <f t="shared" si="41"/>
        <v>2869.3879999999995</v>
      </c>
      <c r="DW78" s="81"/>
      <c r="EH78" s="86"/>
      <c r="EI78" s="138"/>
      <c r="FD78" s="86"/>
      <c r="FE78" s="138"/>
    </row>
    <row r="79" spans="8:161" ht="12">
      <c r="H79" s="81"/>
      <c r="I79" s="81"/>
      <c r="S79" s="86"/>
      <c r="T79" s="138"/>
      <c r="AD79" s="86"/>
      <c r="AE79" s="138"/>
      <c r="AO79" s="66" t="s">
        <v>105</v>
      </c>
      <c r="AP79" s="137">
        <f t="shared" si="39"/>
        <v>3630.95</v>
      </c>
      <c r="BZ79" s="86"/>
      <c r="CA79" s="138"/>
      <c r="CM79" s="29"/>
      <c r="CN79" s="29"/>
      <c r="CO79" s="29"/>
      <c r="CP79" s="29"/>
      <c r="CQ79" s="29"/>
      <c r="CR79" s="29"/>
      <c r="CS79" s="29"/>
      <c r="CT79" s="29"/>
      <c r="CU79" s="86"/>
      <c r="CV79" s="138"/>
      <c r="CW79" s="409"/>
      <c r="CX79" s="409"/>
      <c r="CY79" s="409"/>
      <c r="CZ79" s="409"/>
      <c r="DA79" s="409"/>
      <c r="DB79" s="409"/>
      <c r="DC79" s="409"/>
      <c r="DD79" s="409"/>
      <c r="DE79" s="409"/>
      <c r="DF79" s="409"/>
      <c r="DG79" s="409"/>
      <c r="DH79" s="66" t="s">
        <v>105</v>
      </c>
      <c r="DI79" s="137">
        <f t="shared" si="40"/>
        <v>1215.82</v>
      </c>
      <c r="DJ79" s="81"/>
      <c r="DK79" s="81"/>
      <c r="DL79" s="171"/>
      <c r="DM79" s="81"/>
      <c r="DN79" s="81"/>
      <c r="DO79" s="81"/>
      <c r="DP79" s="171"/>
      <c r="DQ79" s="81"/>
      <c r="DR79" s="81"/>
      <c r="DS79" s="81"/>
      <c r="DT79" s="81"/>
      <c r="DU79" s="66" t="s">
        <v>108</v>
      </c>
      <c r="DV79" s="137">
        <f t="shared" si="41"/>
        <v>3194.7919999999995</v>
      </c>
      <c r="DW79" s="81"/>
      <c r="EH79" s="86"/>
      <c r="EI79" s="138"/>
      <c r="FD79" s="86"/>
      <c r="FE79" s="138"/>
    </row>
    <row r="80" spans="8:161" ht="12">
      <c r="H80" s="81"/>
      <c r="I80" s="81"/>
      <c r="S80" s="86"/>
      <c r="T80" s="138"/>
      <c r="AD80" s="86"/>
      <c r="AE80" s="138"/>
      <c r="AO80" s="66" t="s">
        <v>106</v>
      </c>
      <c r="AP80" s="137">
        <f t="shared" si="39"/>
        <v>4324.88</v>
      </c>
      <c r="BZ80" s="86"/>
      <c r="CA80" s="138"/>
      <c r="CM80" s="29"/>
      <c r="CN80" s="29"/>
      <c r="CO80" s="29"/>
      <c r="CP80" s="29"/>
      <c r="CQ80" s="29"/>
      <c r="CR80" s="29"/>
      <c r="CS80" s="29"/>
      <c r="CT80" s="29"/>
      <c r="CU80" s="86"/>
      <c r="CV80" s="138"/>
      <c r="CW80" s="409"/>
      <c r="CX80" s="409"/>
      <c r="CY80" s="409"/>
      <c r="CZ80" s="409"/>
      <c r="DA80" s="409"/>
      <c r="DB80" s="409"/>
      <c r="DC80" s="409"/>
      <c r="DD80" s="409"/>
      <c r="DE80" s="409"/>
      <c r="DF80" s="409"/>
      <c r="DG80" s="409"/>
      <c r="DH80" s="66" t="s">
        <v>106</v>
      </c>
      <c r="DI80" s="137">
        <f t="shared" si="40"/>
        <v>481.77</v>
      </c>
      <c r="DJ80" s="81"/>
      <c r="DK80" s="81"/>
      <c r="DL80" s="171"/>
      <c r="DM80" s="81"/>
      <c r="DN80" s="81"/>
      <c r="DO80" s="81"/>
      <c r="DP80" s="171"/>
      <c r="DQ80" s="81"/>
      <c r="DR80" s="81"/>
      <c r="DS80" s="81"/>
      <c r="DT80" s="81"/>
      <c r="DU80" s="66" t="s">
        <v>109</v>
      </c>
      <c r="DV80" s="137">
        <f t="shared" si="41"/>
        <v>4075.324</v>
      </c>
      <c r="DW80" s="81"/>
      <c r="EH80" s="86"/>
      <c r="EI80" s="138"/>
      <c r="FD80" s="86"/>
      <c r="FE80" s="138"/>
    </row>
    <row r="81" spans="8:161" ht="12">
      <c r="H81" s="81"/>
      <c r="I81" s="81"/>
      <c r="S81" s="86"/>
      <c r="T81" s="138"/>
      <c r="AD81" s="86"/>
      <c r="AE81" s="138"/>
      <c r="AO81" s="66" t="s">
        <v>107</v>
      </c>
      <c r="AP81" s="137">
        <f t="shared" si="39"/>
        <v>4828.74</v>
      </c>
      <c r="BZ81" s="86"/>
      <c r="CA81" s="138"/>
      <c r="CM81" s="29"/>
      <c r="CN81" s="29"/>
      <c r="CO81" s="29"/>
      <c r="CP81" s="29"/>
      <c r="CQ81" s="29"/>
      <c r="CR81" s="29"/>
      <c r="CS81" s="29"/>
      <c r="CT81" s="29"/>
      <c r="CU81" s="86"/>
      <c r="CV81" s="138"/>
      <c r="CW81" s="409"/>
      <c r="CX81" s="409"/>
      <c r="CY81" s="409"/>
      <c r="CZ81" s="409"/>
      <c r="DA81" s="409"/>
      <c r="DB81" s="409"/>
      <c r="DC81" s="409"/>
      <c r="DD81" s="409"/>
      <c r="DE81" s="409"/>
      <c r="DF81" s="409"/>
      <c r="DG81" s="409"/>
      <c r="DH81" s="66" t="s">
        <v>107</v>
      </c>
      <c r="DI81" s="137">
        <f t="shared" si="40"/>
        <v>598.19</v>
      </c>
      <c r="DJ81" s="81"/>
      <c r="DK81" s="81"/>
      <c r="DL81" s="171"/>
      <c r="DM81" s="81"/>
      <c r="DN81" s="81"/>
      <c r="DO81" s="81"/>
      <c r="DP81" s="171"/>
      <c r="DQ81" s="81"/>
      <c r="DR81" s="81"/>
      <c r="DS81" s="81"/>
      <c r="DT81" s="81"/>
      <c r="DU81" s="66" t="s">
        <v>110</v>
      </c>
      <c r="DV81" s="137">
        <f t="shared" si="41"/>
        <v>300.71</v>
      </c>
      <c r="DW81" s="81"/>
      <c r="EH81" s="86"/>
      <c r="EI81" s="138"/>
      <c r="FD81" s="86"/>
      <c r="FE81" s="138"/>
    </row>
    <row r="82" spans="8:161" ht="12">
      <c r="H82" s="81"/>
      <c r="I82" s="81"/>
      <c r="S82" s="86"/>
      <c r="T82" s="138"/>
      <c r="AD82" s="86"/>
      <c r="AE82" s="138"/>
      <c r="AO82" s="66" t="s">
        <v>108</v>
      </c>
      <c r="AP82" s="137">
        <f t="shared" si="39"/>
        <v>6187.86</v>
      </c>
      <c r="BZ82" s="86"/>
      <c r="CA82" s="138"/>
      <c r="CM82" s="29"/>
      <c r="CN82" s="29"/>
      <c r="CO82" s="29"/>
      <c r="CP82" s="29"/>
      <c r="CQ82" s="29"/>
      <c r="CR82" s="29"/>
      <c r="CS82" s="29"/>
      <c r="CT82" s="29"/>
      <c r="CU82" s="86"/>
      <c r="CV82" s="138"/>
      <c r="CW82" s="409"/>
      <c r="CX82" s="409"/>
      <c r="CY82" s="409"/>
      <c r="CZ82" s="409"/>
      <c r="DA82" s="409"/>
      <c r="DB82" s="409"/>
      <c r="DC82" s="409"/>
      <c r="DD82" s="409"/>
      <c r="DE82" s="409"/>
      <c r="DF82" s="409"/>
      <c r="DG82" s="409"/>
      <c r="DH82" s="66" t="s">
        <v>108</v>
      </c>
      <c r="DI82" s="137">
        <f t="shared" si="40"/>
        <v>726.2</v>
      </c>
      <c r="DJ82" s="81"/>
      <c r="DK82" s="81"/>
      <c r="DL82" s="171"/>
      <c r="DM82" s="81"/>
      <c r="DN82" s="81"/>
      <c r="DO82" s="81"/>
      <c r="DP82" s="171"/>
      <c r="DQ82" s="81"/>
      <c r="DR82" s="81"/>
      <c r="DS82" s="81"/>
      <c r="DT82" s="81"/>
      <c r="DU82" s="66" t="s">
        <v>111</v>
      </c>
      <c r="DV82" s="137">
        <f t="shared" si="41"/>
        <v>349.39</v>
      </c>
      <c r="DW82" s="81"/>
      <c r="EH82" s="86"/>
      <c r="EI82" s="138"/>
      <c r="FD82" s="86"/>
      <c r="FE82" s="138"/>
    </row>
    <row r="83" spans="8:161" ht="12">
      <c r="H83" s="81"/>
      <c r="I83" s="81"/>
      <c r="S83" s="86"/>
      <c r="T83" s="138"/>
      <c r="AD83" s="86"/>
      <c r="AE83" s="138"/>
      <c r="AO83" s="66" t="s">
        <v>109</v>
      </c>
      <c r="AP83" s="137">
        <f t="shared" si="39"/>
        <v>7270.74</v>
      </c>
      <c r="BZ83" s="86"/>
      <c r="CA83" s="138"/>
      <c r="CM83" s="29"/>
      <c r="CN83" s="29"/>
      <c r="CO83" s="29"/>
      <c r="CP83" s="29"/>
      <c r="CQ83" s="29"/>
      <c r="CR83" s="29"/>
      <c r="CS83" s="29"/>
      <c r="CT83" s="29"/>
      <c r="CU83" s="86"/>
      <c r="CV83" s="138"/>
      <c r="CW83" s="409"/>
      <c r="CX83" s="409"/>
      <c r="CY83" s="409"/>
      <c r="CZ83" s="409"/>
      <c r="DA83" s="409"/>
      <c r="DB83" s="409"/>
      <c r="DC83" s="409"/>
      <c r="DD83" s="409"/>
      <c r="DE83" s="409"/>
      <c r="DF83" s="409"/>
      <c r="DG83" s="409"/>
      <c r="DH83" s="66" t="s">
        <v>109</v>
      </c>
      <c r="DI83" s="137">
        <f t="shared" si="40"/>
        <v>810.67</v>
      </c>
      <c r="DJ83" s="81"/>
      <c r="DK83" s="81"/>
      <c r="DL83" s="171"/>
      <c r="DM83" s="81"/>
      <c r="DN83" s="81"/>
      <c r="DO83" s="81"/>
      <c r="DP83" s="171"/>
      <c r="DQ83" s="81"/>
      <c r="DR83" s="81"/>
      <c r="DS83" s="81"/>
      <c r="DT83" s="81"/>
      <c r="DU83" s="66" t="s">
        <v>112</v>
      </c>
      <c r="DV83" s="137">
        <f t="shared" si="41"/>
        <v>432.24</v>
      </c>
      <c r="DW83" s="81"/>
      <c r="EH83" s="86"/>
      <c r="EI83" s="138"/>
      <c r="FD83" s="86"/>
      <c r="FE83" s="138"/>
    </row>
    <row r="84" spans="8:161" ht="12">
      <c r="H84" s="81"/>
      <c r="I84" s="81"/>
      <c r="S84" s="29"/>
      <c r="T84" s="29"/>
      <c r="AD84" s="86"/>
      <c r="AE84" s="138"/>
      <c r="AO84" s="66" t="s">
        <v>110</v>
      </c>
      <c r="AP84" s="137">
        <f t="shared" si="39"/>
        <v>1823.41</v>
      </c>
      <c r="BZ84" s="86"/>
      <c r="CA84" s="138"/>
      <c r="CM84" s="29"/>
      <c r="CN84" s="29"/>
      <c r="CO84" s="29"/>
      <c r="CP84" s="29"/>
      <c r="CQ84" s="29"/>
      <c r="CR84" s="29"/>
      <c r="CS84" s="29"/>
      <c r="CT84" s="29"/>
      <c r="CU84" s="86"/>
      <c r="CV84" s="138"/>
      <c r="CW84" s="409"/>
      <c r="CX84" s="409"/>
      <c r="CY84" s="409"/>
      <c r="CZ84" s="409"/>
      <c r="DA84" s="409"/>
      <c r="DB84" s="409"/>
      <c r="DC84" s="409"/>
      <c r="DD84" s="409"/>
      <c r="DE84" s="409"/>
      <c r="DF84" s="409"/>
      <c r="DG84" s="409"/>
      <c r="DH84" s="66" t="s">
        <v>110</v>
      </c>
      <c r="DI84" s="137">
        <f t="shared" si="40"/>
        <v>1141.58</v>
      </c>
      <c r="DJ84" s="81"/>
      <c r="DK84" s="81"/>
      <c r="DL84" s="171"/>
      <c r="DM84" s="81"/>
      <c r="DN84" s="81"/>
      <c r="DO84" s="81"/>
      <c r="DP84" s="171"/>
      <c r="DQ84" s="81"/>
      <c r="DR84" s="81"/>
      <c r="DS84" s="81"/>
      <c r="DT84" s="81"/>
      <c r="DU84" s="66" t="s">
        <v>113</v>
      </c>
      <c r="DV84" s="137">
        <f t="shared" si="41"/>
        <v>514.85</v>
      </c>
      <c r="DW84" s="81"/>
      <c r="EH84" s="86"/>
      <c r="EI84" s="138"/>
      <c r="FD84" s="86"/>
      <c r="FE84" s="138"/>
    </row>
    <row r="85" spans="8:161" ht="12">
      <c r="H85" s="81"/>
      <c r="I85" s="81"/>
      <c r="S85" s="29"/>
      <c r="T85" s="29"/>
      <c r="AD85" s="86"/>
      <c r="AE85" s="138"/>
      <c r="AO85" s="66" t="s">
        <v>111</v>
      </c>
      <c r="AP85" s="137">
        <f t="shared" si="39"/>
        <v>2290.63</v>
      </c>
      <c r="BZ85" s="86"/>
      <c r="CA85" s="138"/>
      <c r="CM85" s="29"/>
      <c r="CN85" s="29"/>
      <c r="CO85" s="29"/>
      <c r="CP85" s="29"/>
      <c r="CQ85" s="29"/>
      <c r="CR85" s="29"/>
      <c r="CS85" s="29"/>
      <c r="CT85" s="29"/>
      <c r="CU85" s="86"/>
      <c r="CV85" s="138"/>
      <c r="CW85" s="409"/>
      <c r="CX85" s="409"/>
      <c r="CY85" s="409"/>
      <c r="CZ85" s="409"/>
      <c r="DA85" s="409"/>
      <c r="DB85" s="409"/>
      <c r="DC85" s="409"/>
      <c r="DD85" s="409"/>
      <c r="DE85" s="409"/>
      <c r="DF85" s="409"/>
      <c r="DG85" s="409"/>
      <c r="DH85" s="66" t="s">
        <v>111</v>
      </c>
      <c r="DI85" s="137">
        <f t="shared" si="40"/>
        <v>1411.41</v>
      </c>
      <c r="DJ85" s="81"/>
      <c r="DK85" s="81"/>
      <c r="DL85" s="171"/>
      <c r="DM85" s="81"/>
      <c r="DN85" s="81"/>
      <c r="DO85" s="81"/>
      <c r="DP85" s="171"/>
      <c r="DQ85" s="81"/>
      <c r="DR85" s="81"/>
      <c r="DS85" s="81"/>
      <c r="DT85" s="81"/>
      <c r="DU85" s="66" t="s">
        <v>114</v>
      </c>
      <c r="DV85" s="137">
        <f t="shared" si="41"/>
        <v>599.74</v>
      </c>
      <c r="DW85" s="81"/>
      <c r="EH85" s="86"/>
      <c r="EI85" s="138"/>
      <c r="FD85" s="86"/>
      <c r="FE85" s="138"/>
    </row>
    <row r="86" spans="8:161" ht="12">
      <c r="H86" s="81"/>
      <c r="I86" s="81"/>
      <c r="S86" s="29"/>
      <c r="T86" s="29"/>
      <c r="AD86" s="86"/>
      <c r="AE86" s="138"/>
      <c r="AO86" s="66" t="s">
        <v>112</v>
      </c>
      <c r="AP86" s="137">
        <f t="shared" si="39"/>
        <v>2763.11</v>
      </c>
      <c r="BZ86" s="86"/>
      <c r="CA86" s="138"/>
      <c r="CM86" s="29"/>
      <c r="CN86" s="29"/>
      <c r="CO86" s="29"/>
      <c r="CP86" s="29"/>
      <c r="CQ86" s="29"/>
      <c r="CR86" s="29"/>
      <c r="CS86" s="29"/>
      <c r="CT86" s="29"/>
      <c r="CU86" s="86"/>
      <c r="CV86" s="138"/>
      <c r="CW86" s="409"/>
      <c r="CX86" s="409"/>
      <c r="CY86" s="409"/>
      <c r="CZ86" s="409"/>
      <c r="DA86" s="409"/>
      <c r="DB86" s="409"/>
      <c r="DC86" s="409"/>
      <c r="DD86" s="409"/>
      <c r="DE86" s="409"/>
      <c r="DF86" s="409"/>
      <c r="DG86" s="409"/>
      <c r="DH86" s="66" t="s">
        <v>112</v>
      </c>
      <c r="DI86" s="137">
        <f t="shared" si="40"/>
        <v>1662.92</v>
      </c>
      <c r="DJ86" s="81"/>
      <c r="DK86" s="81"/>
      <c r="DL86" s="171"/>
      <c r="DM86" s="81"/>
      <c r="DN86" s="81"/>
      <c r="DO86" s="81"/>
      <c r="DP86" s="171"/>
      <c r="DQ86" s="81"/>
      <c r="DR86" s="81"/>
      <c r="DS86" s="81"/>
      <c r="DT86" s="81"/>
      <c r="DU86" s="66" t="s">
        <v>115</v>
      </c>
      <c r="DV86" s="137">
        <f t="shared" si="41"/>
        <v>682.47</v>
      </c>
      <c r="DW86" s="81"/>
      <c r="EH86" s="86"/>
      <c r="EI86" s="138"/>
      <c r="FD86" s="86"/>
      <c r="FE86" s="138"/>
    </row>
    <row r="87" spans="8:161" ht="12">
      <c r="H87" s="81"/>
      <c r="I87" s="81"/>
      <c r="S87" s="29"/>
      <c r="T87" s="29"/>
      <c r="AD87" s="86"/>
      <c r="AE87" s="138"/>
      <c r="AO87" s="66" t="s">
        <v>113</v>
      </c>
      <c r="AP87" s="137">
        <f t="shared" si="39"/>
        <v>2966.3</v>
      </c>
      <c r="BZ87" s="86"/>
      <c r="CA87" s="138"/>
      <c r="CM87" s="29"/>
      <c r="CN87" s="29"/>
      <c r="CO87" s="29"/>
      <c r="CP87" s="29"/>
      <c r="CQ87" s="29"/>
      <c r="CR87" s="29"/>
      <c r="CS87" s="29"/>
      <c r="CT87" s="29"/>
      <c r="CU87" s="86"/>
      <c r="CV87" s="138"/>
      <c r="CW87" s="409"/>
      <c r="CX87" s="409"/>
      <c r="CY87" s="409"/>
      <c r="CZ87" s="409"/>
      <c r="DA87" s="409"/>
      <c r="DB87" s="409"/>
      <c r="DC87" s="409"/>
      <c r="DD87" s="409"/>
      <c r="DE87" s="409"/>
      <c r="DF87" s="409"/>
      <c r="DG87" s="409"/>
      <c r="DH87" s="66" t="s">
        <v>113</v>
      </c>
      <c r="DI87" s="137">
        <f t="shared" si="40"/>
        <v>1784.54</v>
      </c>
      <c r="DJ87" s="81"/>
      <c r="DK87" s="81"/>
      <c r="DL87" s="171"/>
      <c r="DM87" s="81"/>
      <c r="DN87" s="81"/>
      <c r="DO87" s="81"/>
      <c r="DP87" s="171"/>
      <c r="DQ87" s="81"/>
      <c r="DR87" s="81"/>
      <c r="DS87" s="81"/>
      <c r="DT87" s="81"/>
      <c r="DU87" s="66" t="s">
        <v>116</v>
      </c>
      <c r="DV87" s="137">
        <f t="shared" si="41"/>
        <v>764.84</v>
      </c>
      <c r="DW87" s="81"/>
      <c r="EH87" s="86"/>
      <c r="EI87" s="138"/>
      <c r="FD87" s="86"/>
      <c r="FE87" s="138"/>
    </row>
    <row r="88" spans="8:161" ht="12">
      <c r="H88" s="81"/>
      <c r="I88" s="81"/>
      <c r="S88" s="29"/>
      <c r="T88" s="29"/>
      <c r="AD88" s="86"/>
      <c r="AE88" s="138"/>
      <c r="AO88" s="66" t="s">
        <v>114</v>
      </c>
      <c r="AP88" s="137">
        <f t="shared" si="39"/>
        <v>3230.39</v>
      </c>
      <c r="BZ88" s="86"/>
      <c r="CA88" s="138"/>
      <c r="CM88" s="29"/>
      <c r="CN88" s="29"/>
      <c r="CO88" s="29"/>
      <c r="CP88" s="29"/>
      <c r="CQ88" s="29"/>
      <c r="CR88" s="29"/>
      <c r="CS88" s="29"/>
      <c r="CT88" s="29"/>
      <c r="CU88" s="86"/>
      <c r="CV88" s="138"/>
      <c r="CW88" s="409"/>
      <c r="CX88" s="409"/>
      <c r="CY88" s="409"/>
      <c r="CZ88" s="409"/>
      <c r="DA88" s="409"/>
      <c r="DB88" s="409"/>
      <c r="DC88" s="409"/>
      <c r="DD88" s="409"/>
      <c r="DE88" s="409"/>
      <c r="DF88" s="409"/>
      <c r="DG88" s="409"/>
      <c r="DH88" s="66" t="s">
        <v>114</v>
      </c>
      <c r="DI88" s="137">
        <f t="shared" si="40"/>
        <v>1871.25</v>
      </c>
      <c r="DJ88" s="81"/>
      <c r="DK88" s="81"/>
      <c r="DL88" s="171"/>
      <c r="DM88" s="81"/>
      <c r="DN88" s="81"/>
      <c r="DO88" s="81"/>
      <c r="DP88" s="171"/>
      <c r="DQ88" s="81"/>
      <c r="DR88" s="81"/>
      <c r="DS88" s="81"/>
      <c r="DT88" s="81"/>
      <c r="DU88" s="66" t="s">
        <v>117</v>
      </c>
      <c r="DV88" s="137">
        <f t="shared" si="41"/>
        <v>1166.87</v>
      </c>
      <c r="DW88" s="81"/>
      <c r="EH88" s="86"/>
      <c r="EI88" s="138"/>
      <c r="FD88" s="86"/>
      <c r="FE88" s="138"/>
    </row>
    <row r="89" spans="8:161" ht="12">
      <c r="H89" s="81"/>
      <c r="I89" s="81"/>
      <c r="S89" s="29"/>
      <c r="T89" s="29"/>
      <c r="AD89" s="86"/>
      <c r="AE89" s="138"/>
      <c r="AO89" s="66" t="s">
        <v>115</v>
      </c>
      <c r="AP89" s="137">
        <f t="shared" si="39"/>
        <v>4302.19</v>
      </c>
      <c r="BZ89" s="86"/>
      <c r="CA89" s="138"/>
      <c r="CM89" s="29"/>
      <c r="CN89" s="29"/>
      <c r="CO89" s="29"/>
      <c r="CP89" s="29"/>
      <c r="CQ89" s="29"/>
      <c r="CR89" s="29"/>
      <c r="CS89" s="29"/>
      <c r="CT89" s="29"/>
      <c r="CU89" s="86"/>
      <c r="CV89" s="138"/>
      <c r="CW89" s="409"/>
      <c r="CX89" s="409"/>
      <c r="CY89" s="409"/>
      <c r="CZ89" s="409"/>
      <c r="DA89" s="409"/>
      <c r="DB89" s="409"/>
      <c r="DC89" s="409"/>
      <c r="DD89" s="409"/>
      <c r="DE89" s="409"/>
      <c r="DF89" s="409"/>
      <c r="DG89" s="409"/>
      <c r="DH89" s="66" t="s">
        <v>115</v>
      </c>
      <c r="DI89" s="137">
        <f t="shared" si="40"/>
        <v>2244.95</v>
      </c>
      <c r="DJ89" s="81"/>
      <c r="DK89" s="81"/>
      <c r="DL89" s="171"/>
      <c r="DM89" s="81"/>
      <c r="DN89" s="81"/>
      <c r="DO89" s="81"/>
      <c r="DP89" s="171"/>
      <c r="DQ89" s="81"/>
      <c r="DR89" s="81"/>
      <c r="DS89" s="81"/>
      <c r="DT89" s="81"/>
      <c r="DU89" s="66" t="s">
        <v>118</v>
      </c>
      <c r="DV89" s="137">
        <f t="shared" si="41"/>
        <v>1526.45</v>
      </c>
      <c r="DW89" s="81"/>
      <c r="EH89" s="86"/>
      <c r="EI89" s="138"/>
      <c r="FD89" s="86"/>
      <c r="FE89" s="138"/>
    </row>
    <row r="90" spans="8:161" ht="12">
      <c r="H90" s="81"/>
      <c r="I90" s="81"/>
      <c r="S90" s="29"/>
      <c r="T90" s="29"/>
      <c r="AD90" s="86"/>
      <c r="AE90" s="138"/>
      <c r="AO90" s="66" t="s">
        <v>116</v>
      </c>
      <c r="AP90" s="137">
        <f t="shared" si="39"/>
        <v>4571.4</v>
      </c>
      <c r="BZ90" s="86"/>
      <c r="CA90" s="138"/>
      <c r="CM90" s="29"/>
      <c r="CN90" s="29"/>
      <c r="CO90" s="29"/>
      <c r="CP90" s="29"/>
      <c r="CQ90" s="29"/>
      <c r="CR90" s="29"/>
      <c r="CS90" s="29"/>
      <c r="CT90" s="29"/>
      <c r="CU90" s="86"/>
      <c r="CV90" s="138"/>
      <c r="CW90" s="409"/>
      <c r="CX90" s="409"/>
      <c r="CY90" s="409"/>
      <c r="CZ90" s="409"/>
      <c r="DA90" s="409"/>
      <c r="DB90" s="409"/>
      <c r="DC90" s="409"/>
      <c r="DD90" s="409"/>
      <c r="DE90" s="409"/>
      <c r="DF90" s="409"/>
      <c r="DG90" s="409"/>
      <c r="DH90" s="66" t="s">
        <v>116</v>
      </c>
      <c r="DI90" s="137">
        <f t="shared" si="40"/>
        <v>2536.02</v>
      </c>
      <c r="DJ90" s="81"/>
      <c r="DK90" s="81"/>
      <c r="DL90" s="171"/>
      <c r="DM90" s="81"/>
      <c r="DN90" s="81"/>
      <c r="DO90" s="81"/>
      <c r="DP90" s="171"/>
      <c r="DQ90" s="81"/>
      <c r="DR90" s="81"/>
      <c r="DS90" s="81"/>
      <c r="DT90" s="81"/>
      <c r="DU90" s="66" t="s">
        <v>119</v>
      </c>
      <c r="DV90" s="137">
        <f t="shared" si="41"/>
        <v>1746.34</v>
      </c>
      <c r="DW90" s="81"/>
      <c r="EH90" s="86"/>
      <c r="EI90" s="138"/>
      <c r="FD90" s="86"/>
      <c r="FE90" s="138"/>
    </row>
    <row r="91" spans="8:161" ht="12">
      <c r="H91" s="81"/>
      <c r="I91" s="81"/>
      <c r="S91" s="86"/>
      <c r="T91" s="87"/>
      <c r="AD91" s="86"/>
      <c r="AE91" s="138"/>
      <c r="AO91" s="66" t="s">
        <v>117</v>
      </c>
      <c r="AP91" s="137">
        <f t="shared" si="39"/>
        <v>13809.09</v>
      </c>
      <c r="BZ91" s="86"/>
      <c r="CA91" s="138"/>
      <c r="CM91" s="29"/>
      <c r="CN91" s="29"/>
      <c r="CO91" s="29"/>
      <c r="CP91" s="29"/>
      <c r="CQ91" s="29"/>
      <c r="CR91" s="29"/>
      <c r="CS91" s="29"/>
      <c r="CT91" s="29"/>
      <c r="CU91" s="86"/>
      <c r="CV91" s="138"/>
      <c r="CW91" s="409"/>
      <c r="CX91" s="409"/>
      <c r="CY91" s="409"/>
      <c r="CZ91" s="409"/>
      <c r="DA91" s="409"/>
      <c r="DB91" s="409"/>
      <c r="DC91" s="409"/>
      <c r="DD91" s="409"/>
      <c r="DE91" s="409"/>
      <c r="DF91" s="409"/>
      <c r="DG91" s="409"/>
      <c r="DH91" s="66" t="s">
        <v>117</v>
      </c>
      <c r="DI91" s="137">
        <f t="shared" si="40"/>
        <v>1924.7</v>
      </c>
      <c r="DJ91" s="81"/>
      <c r="DK91" s="81"/>
      <c r="DL91" s="171"/>
      <c r="DM91" s="81"/>
      <c r="DN91" s="81"/>
      <c r="DO91" s="81"/>
      <c r="DP91" s="171"/>
      <c r="DQ91" s="81"/>
      <c r="DR91" s="81"/>
      <c r="DS91" s="81"/>
      <c r="DT91" s="81"/>
      <c r="DU91" s="66" t="s">
        <v>120</v>
      </c>
      <c r="DV91" s="137">
        <f t="shared" si="41"/>
        <v>1944.54</v>
      </c>
      <c r="DW91" s="81"/>
      <c r="EH91" s="86"/>
      <c r="EI91" s="138"/>
      <c r="FD91" s="86"/>
      <c r="FE91" s="138"/>
    </row>
    <row r="92" spans="8:161" ht="12.75" thickBot="1">
      <c r="H92" s="81"/>
      <c r="I92" s="81"/>
      <c r="S92" s="29"/>
      <c r="T92" s="29"/>
      <c r="AD92" s="86"/>
      <c r="AE92" s="87"/>
      <c r="AO92" s="66" t="s">
        <v>118</v>
      </c>
      <c r="AP92" s="137">
        <f t="shared" si="39"/>
        <v>408.1</v>
      </c>
      <c r="BZ92" s="86"/>
      <c r="CA92" s="87"/>
      <c r="CM92" s="29"/>
      <c r="CN92" s="29"/>
      <c r="CO92" s="29"/>
      <c r="CP92" s="29"/>
      <c r="CQ92" s="29"/>
      <c r="CR92" s="29"/>
      <c r="CS92" s="29"/>
      <c r="CT92" s="29"/>
      <c r="CU92" s="86"/>
      <c r="CV92" s="87"/>
      <c r="CW92" s="409"/>
      <c r="CX92" s="409"/>
      <c r="CY92" s="409"/>
      <c r="CZ92" s="409"/>
      <c r="DA92" s="409"/>
      <c r="DB92" s="409"/>
      <c r="DC92" s="409"/>
      <c r="DD92" s="409"/>
      <c r="DE92" s="409"/>
      <c r="DF92" s="409"/>
      <c r="DG92" s="409"/>
      <c r="DH92" s="66" t="s">
        <v>118</v>
      </c>
      <c r="DI92" s="137">
        <f t="shared" si="40"/>
        <v>218.55</v>
      </c>
      <c r="DJ92" s="81"/>
      <c r="DK92" s="81"/>
      <c r="DL92" s="171"/>
      <c r="DM92" s="81"/>
      <c r="DN92" s="81"/>
      <c r="DO92" s="81"/>
      <c r="DP92" s="171"/>
      <c r="DQ92" s="81"/>
      <c r="DR92" s="81"/>
      <c r="DS92" s="81"/>
      <c r="DT92" s="81"/>
      <c r="DU92" s="67" t="s">
        <v>121</v>
      </c>
      <c r="DV92" s="134">
        <f t="shared" si="41"/>
        <v>2480.37</v>
      </c>
      <c r="DW92" s="81"/>
      <c r="EH92" s="86"/>
      <c r="EI92" s="87"/>
      <c r="FD92" s="86"/>
      <c r="FE92" s="87"/>
    </row>
    <row r="93" spans="8:161" ht="12">
      <c r="H93" s="81"/>
      <c r="I93" s="81"/>
      <c r="S93" s="81"/>
      <c r="T93" s="139"/>
      <c r="AD93" s="81"/>
      <c r="AE93" s="139"/>
      <c r="AO93" s="66" t="s">
        <v>119</v>
      </c>
      <c r="AP93" s="137">
        <f t="shared" si="39"/>
        <v>744.45</v>
      </c>
      <c r="BZ93" s="81"/>
      <c r="CA93" s="139"/>
      <c r="CM93" s="29"/>
      <c r="CN93" s="29"/>
      <c r="CO93" s="29"/>
      <c r="CP93" s="29"/>
      <c r="CQ93" s="29"/>
      <c r="CR93" s="29"/>
      <c r="CS93" s="29"/>
      <c r="CT93" s="29"/>
      <c r="CU93" s="81"/>
      <c r="CV93" s="139"/>
      <c r="CW93" s="409"/>
      <c r="CX93" s="409"/>
      <c r="CY93" s="409"/>
      <c r="CZ93" s="409"/>
      <c r="DA93" s="409"/>
      <c r="DB93" s="409"/>
      <c r="DC93" s="409"/>
      <c r="DD93" s="409"/>
      <c r="DE93" s="409"/>
      <c r="DF93" s="409"/>
      <c r="DG93" s="409"/>
      <c r="DH93" s="66" t="s">
        <v>119</v>
      </c>
      <c r="DI93" s="137">
        <f t="shared" si="40"/>
        <v>120.7</v>
      </c>
      <c r="DJ93" s="81"/>
      <c r="DK93" s="81"/>
      <c r="DL93" s="171"/>
      <c r="DM93" s="81"/>
      <c r="DN93" s="81"/>
      <c r="DO93" s="81"/>
      <c r="DP93" s="171"/>
      <c r="DQ93" s="81"/>
      <c r="DR93" s="81"/>
      <c r="DS93" s="81"/>
      <c r="DT93" s="81"/>
      <c r="DU93" s="86"/>
      <c r="DV93" s="87"/>
      <c r="DW93" s="81"/>
      <c r="EH93" s="86"/>
      <c r="EI93" s="87"/>
      <c r="FD93" s="86"/>
      <c r="FE93" s="87"/>
    </row>
    <row r="94" spans="8:161" ht="12">
      <c r="H94" s="81"/>
      <c r="I94" s="81"/>
      <c r="AO94" s="66" t="s">
        <v>120</v>
      </c>
      <c r="AP94" s="137">
        <f t="shared" si="39"/>
        <v>871.85</v>
      </c>
      <c r="CM94" s="29"/>
      <c r="CN94" s="29"/>
      <c r="CO94" s="29"/>
      <c r="CP94" s="29"/>
      <c r="CQ94" s="29"/>
      <c r="CR94" s="29"/>
      <c r="CS94" s="29"/>
      <c r="CT94" s="29"/>
      <c r="CW94" s="409"/>
      <c r="CX94" s="409"/>
      <c r="CY94" s="409"/>
      <c r="CZ94" s="409"/>
      <c r="DA94" s="409"/>
      <c r="DB94" s="409"/>
      <c r="DC94" s="409"/>
      <c r="DD94" s="409"/>
      <c r="DE94" s="409"/>
      <c r="DF94" s="409"/>
      <c r="DG94" s="409"/>
      <c r="DH94" s="66" t="s">
        <v>120</v>
      </c>
      <c r="DI94" s="137">
        <f t="shared" si="40"/>
        <v>135.1</v>
      </c>
      <c r="DJ94" s="81"/>
      <c r="DK94" s="81"/>
      <c r="DL94" s="171"/>
      <c r="DM94" s="81"/>
      <c r="DN94" s="81"/>
      <c r="DO94" s="81"/>
      <c r="DP94" s="171"/>
      <c r="DQ94" s="81"/>
      <c r="DR94" s="81"/>
      <c r="DS94" s="81"/>
      <c r="DT94" s="81"/>
      <c r="DU94" s="86"/>
      <c r="DV94" s="87"/>
      <c r="DW94" s="81"/>
      <c r="EH94" s="86"/>
      <c r="EI94" s="87"/>
      <c r="FD94" s="86"/>
      <c r="FE94" s="87"/>
    </row>
    <row r="95" spans="8:161" ht="12">
      <c r="H95" s="81"/>
      <c r="I95" s="81"/>
      <c r="S95" s="81"/>
      <c r="T95" s="81"/>
      <c r="AD95" s="81"/>
      <c r="AE95" s="81"/>
      <c r="AO95" s="66" t="s">
        <v>121</v>
      </c>
      <c r="AP95" s="140">
        <f t="shared" si="39"/>
        <v>1019.24</v>
      </c>
      <c r="BZ95" s="81"/>
      <c r="CA95" s="81"/>
      <c r="CM95" s="29"/>
      <c r="CN95" s="29"/>
      <c r="CO95" s="29"/>
      <c r="CP95" s="29"/>
      <c r="CQ95" s="29"/>
      <c r="CR95" s="29"/>
      <c r="CS95" s="29"/>
      <c r="CT95" s="29"/>
      <c r="CU95" s="81"/>
      <c r="CV95" s="81"/>
      <c r="CW95" s="409"/>
      <c r="CX95" s="409"/>
      <c r="CY95" s="409"/>
      <c r="CZ95" s="409"/>
      <c r="DA95" s="409"/>
      <c r="DB95" s="409"/>
      <c r="DC95" s="409"/>
      <c r="DD95" s="409"/>
      <c r="DE95" s="409"/>
      <c r="DF95" s="409"/>
      <c r="DG95" s="409"/>
      <c r="DH95" s="66" t="s">
        <v>121</v>
      </c>
      <c r="DI95" s="140">
        <f t="shared" si="40"/>
        <v>979.33</v>
      </c>
      <c r="DJ95" s="81"/>
      <c r="DK95" s="81"/>
      <c r="DL95" s="171"/>
      <c r="DM95" s="81"/>
      <c r="DN95" s="81"/>
      <c r="DO95" s="81"/>
      <c r="DP95" s="171"/>
      <c r="DQ95" s="81"/>
      <c r="DR95" s="81"/>
      <c r="DS95" s="81"/>
      <c r="DT95" s="81"/>
      <c r="DU95" s="86"/>
      <c r="DV95" s="87"/>
      <c r="DW95" s="81"/>
      <c r="EH95" s="86"/>
      <c r="EI95" s="87"/>
      <c r="FD95" s="86"/>
      <c r="FE95" s="87"/>
    </row>
    <row r="96" spans="8:161" ht="12">
      <c r="H96" s="81"/>
      <c r="I96" s="81"/>
      <c r="S96" s="81"/>
      <c r="T96" s="81"/>
      <c r="AD96" s="81"/>
      <c r="AE96" s="81"/>
      <c r="AO96" s="66" t="s">
        <v>122</v>
      </c>
      <c r="AP96" s="140">
        <f t="shared" si="39"/>
        <v>1191.63</v>
      </c>
      <c r="BZ96" s="81"/>
      <c r="CA96" s="81"/>
      <c r="CM96" s="29"/>
      <c r="CN96" s="29"/>
      <c r="CO96" s="29"/>
      <c r="CP96" s="29"/>
      <c r="CQ96" s="29"/>
      <c r="CR96" s="29"/>
      <c r="CS96" s="29"/>
      <c r="CT96" s="29"/>
      <c r="CU96" s="81"/>
      <c r="CV96" s="81"/>
      <c r="CW96" s="409"/>
      <c r="CX96" s="409"/>
      <c r="CY96" s="409"/>
      <c r="CZ96" s="409"/>
      <c r="DA96" s="409"/>
      <c r="DB96" s="409"/>
      <c r="DC96" s="409"/>
      <c r="DD96" s="409"/>
      <c r="DE96" s="409"/>
      <c r="DF96" s="409"/>
      <c r="DG96" s="409"/>
      <c r="DH96" s="66" t="s">
        <v>122</v>
      </c>
      <c r="DI96" s="140">
        <f t="shared" si="40"/>
        <v>691.88</v>
      </c>
      <c r="DJ96" s="81"/>
      <c r="DK96" s="81"/>
      <c r="DL96" s="171"/>
      <c r="DM96" s="81"/>
      <c r="DN96" s="81"/>
      <c r="DO96" s="81"/>
      <c r="DP96" s="171"/>
      <c r="DQ96" s="81"/>
      <c r="DR96" s="81"/>
      <c r="DS96" s="81"/>
      <c r="DT96" s="81"/>
      <c r="DU96" s="86"/>
      <c r="DV96" s="87"/>
      <c r="DW96" s="81"/>
      <c r="EH96" s="86"/>
      <c r="EI96" s="87"/>
      <c r="FD96" s="86"/>
      <c r="FE96" s="87"/>
    </row>
    <row r="97" spans="8:161" ht="12">
      <c r="H97" s="81"/>
      <c r="I97" s="81"/>
      <c r="S97" s="81"/>
      <c r="T97" s="81"/>
      <c r="AD97" s="81"/>
      <c r="AE97" s="81"/>
      <c r="AO97" s="66" t="s">
        <v>123</v>
      </c>
      <c r="AP97" s="140">
        <f t="shared" si="39"/>
        <v>1396.51</v>
      </c>
      <c r="BZ97" s="81"/>
      <c r="CA97" s="81"/>
      <c r="CM97" s="29"/>
      <c r="CN97" s="29"/>
      <c r="CO97" s="29"/>
      <c r="CP97" s="29"/>
      <c r="CQ97" s="29"/>
      <c r="CR97" s="29"/>
      <c r="CS97" s="29"/>
      <c r="CT97" s="29"/>
      <c r="CU97" s="81"/>
      <c r="CV97" s="81"/>
      <c r="CW97" s="409"/>
      <c r="CX97" s="409"/>
      <c r="CY97" s="409"/>
      <c r="CZ97" s="409"/>
      <c r="DA97" s="409"/>
      <c r="DB97" s="409"/>
      <c r="DC97" s="409"/>
      <c r="DD97" s="409"/>
      <c r="DE97" s="409"/>
      <c r="DF97" s="409"/>
      <c r="DG97" s="409"/>
      <c r="DH97" s="66" t="s">
        <v>123</v>
      </c>
      <c r="DI97" s="140">
        <f t="shared" si="40"/>
        <v>1080.03</v>
      </c>
      <c r="DJ97" s="81"/>
      <c r="DK97" s="81"/>
      <c r="DL97" s="171"/>
      <c r="DM97" s="81"/>
      <c r="DN97" s="81"/>
      <c r="DO97" s="81"/>
      <c r="DP97" s="171"/>
      <c r="DQ97" s="81"/>
      <c r="DR97" s="81"/>
      <c r="DS97" s="81"/>
      <c r="DT97" s="81"/>
      <c r="DU97" s="86"/>
      <c r="DV97" s="87"/>
      <c r="DW97" s="81"/>
      <c r="EH97" s="86"/>
      <c r="EI97" s="87"/>
      <c r="FD97" s="86"/>
      <c r="FE97" s="87"/>
    </row>
    <row r="98" spans="8:161" ht="12">
      <c r="H98" s="81"/>
      <c r="I98" s="81"/>
      <c r="S98" s="81"/>
      <c r="T98" s="81"/>
      <c r="AD98" s="81"/>
      <c r="AE98" s="81"/>
      <c r="AO98" s="66" t="s">
        <v>124</v>
      </c>
      <c r="AP98" s="140">
        <f t="shared" si="39"/>
        <v>1633.85</v>
      </c>
      <c r="BZ98" s="81"/>
      <c r="CA98" s="81"/>
      <c r="CM98" s="29"/>
      <c r="CN98" s="29"/>
      <c r="CO98" s="29"/>
      <c r="CP98" s="29"/>
      <c r="CQ98" s="29"/>
      <c r="CR98" s="29"/>
      <c r="CS98" s="29"/>
      <c r="CT98" s="29"/>
      <c r="CU98" s="81"/>
      <c r="CV98" s="81"/>
      <c r="CW98" s="409"/>
      <c r="CX98" s="409"/>
      <c r="CY98" s="409"/>
      <c r="CZ98" s="409"/>
      <c r="DA98" s="409"/>
      <c r="DB98" s="409"/>
      <c r="DC98" s="409"/>
      <c r="DD98" s="409"/>
      <c r="DE98" s="409"/>
      <c r="DF98" s="409"/>
      <c r="DG98" s="409"/>
      <c r="DH98" s="66" t="s">
        <v>124</v>
      </c>
      <c r="DI98" s="140">
        <f t="shared" si="40"/>
        <v>151.6</v>
      </c>
      <c r="DJ98" s="81"/>
      <c r="DK98" s="81"/>
      <c r="DL98" s="171"/>
      <c r="DM98" s="81"/>
      <c r="DN98" s="81"/>
      <c r="DO98" s="81"/>
      <c r="DP98" s="171"/>
      <c r="DQ98" s="81"/>
      <c r="DR98" s="81"/>
      <c r="DS98" s="81"/>
      <c r="DT98" s="81"/>
      <c r="DU98" s="86"/>
      <c r="DV98" s="87"/>
      <c r="DW98" s="81"/>
      <c r="EH98" s="86"/>
      <c r="EI98" s="87"/>
      <c r="FD98" s="86"/>
      <c r="FE98" s="87"/>
    </row>
    <row r="99" spans="8:161" ht="12">
      <c r="H99" s="81"/>
      <c r="I99" s="81"/>
      <c r="S99" s="81"/>
      <c r="T99" s="81"/>
      <c r="AD99" s="81"/>
      <c r="AE99" s="81"/>
      <c r="AO99" s="66" t="s">
        <v>125</v>
      </c>
      <c r="AP99" s="140">
        <f t="shared" si="39"/>
        <v>1911.17</v>
      </c>
      <c r="BZ99" s="81"/>
      <c r="CA99" s="81"/>
      <c r="CM99" s="29"/>
      <c r="CN99" s="29"/>
      <c r="CO99" s="29"/>
      <c r="CP99" s="29"/>
      <c r="CQ99" s="29"/>
      <c r="CR99" s="29"/>
      <c r="CS99" s="29"/>
      <c r="CT99" s="29"/>
      <c r="CU99" s="81"/>
      <c r="CV99" s="81"/>
      <c r="CW99" s="409"/>
      <c r="CX99" s="409"/>
      <c r="CY99" s="409"/>
      <c r="CZ99" s="409"/>
      <c r="DA99" s="409"/>
      <c r="DB99" s="409"/>
      <c r="DC99" s="409"/>
      <c r="DD99" s="409"/>
      <c r="DE99" s="409"/>
      <c r="DF99" s="409"/>
      <c r="DG99" s="409"/>
      <c r="DH99" s="66" t="s">
        <v>125</v>
      </c>
      <c r="DI99" s="140">
        <f t="shared" si="40"/>
        <v>170.2</v>
      </c>
      <c r="DJ99" s="81"/>
      <c r="DK99" s="81"/>
      <c r="DL99" s="171"/>
      <c r="DM99" s="81"/>
      <c r="DN99" s="81"/>
      <c r="DO99" s="81"/>
      <c r="DP99" s="171"/>
      <c r="DQ99" s="81"/>
      <c r="DR99" s="81"/>
      <c r="DS99" s="81"/>
      <c r="DT99" s="81"/>
      <c r="DU99" s="86"/>
      <c r="DV99" s="87"/>
      <c r="DW99" s="81"/>
      <c r="EH99" s="86"/>
      <c r="EI99" s="87"/>
      <c r="FD99" s="86"/>
      <c r="FE99" s="87"/>
    </row>
    <row r="100" spans="8:161" ht="12">
      <c r="H100" s="81"/>
      <c r="I100" s="81"/>
      <c r="S100" s="81"/>
      <c r="T100" s="81"/>
      <c r="AD100" s="81"/>
      <c r="AE100" s="81"/>
      <c r="AO100" s="66" t="s">
        <v>126</v>
      </c>
      <c r="AP100" s="140">
        <f t="shared" si="39"/>
        <v>2235.95</v>
      </c>
      <c r="BZ100" s="81"/>
      <c r="CA100" s="81"/>
      <c r="CM100" s="29"/>
      <c r="CN100" s="29"/>
      <c r="CO100" s="29"/>
      <c r="CP100" s="29"/>
      <c r="CQ100" s="29"/>
      <c r="CR100" s="29"/>
      <c r="CS100" s="29"/>
      <c r="CT100" s="29"/>
      <c r="CU100" s="81"/>
      <c r="CV100" s="81"/>
      <c r="CW100" s="409"/>
      <c r="CX100" s="409"/>
      <c r="CY100" s="409"/>
      <c r="CZ100" s="409"/>
      <c r="DA100" s="409"/>
      <c r="DB100" s="409"/>
      <c r="DC100" s="409"/>
      <c r="DD100" s="409"/>
      <c r="DE100" s="409"/>
      <c r="DF100" s="409"/>
      <c r="DG100" s="409"/>
      <c r="DH100" s="66" t="s">
        <v>126</v>
      </c>
      <c r="DI100" s="140">
        <f t="shared" si="40"/>
        <v>190.7</v>
      </c>
      <c r="DJ100" s="81"/>
      <c r="DK100" s="81"/>
      <c r="DL100" s="171"/>
      <c r="DM100" s="81"/>
      <c r="DN100" s="81"/>
      <c r="DO100" s="81"/>
      <c r="DP100" s="171"/>
      <c r="DQ100" s="81"/>
      <c r="DR100" s="81"/>
      <c r="DS100" s="81"/>
      <c r="DT100" s="81"/>
      <c r="DU100" s="86"/>
      <c r="DV100" s="87"/>
      <c r="DW100" s="81"/>
      <c r="EH100" s="86"/>
      <c r="EI100" s="87"/>
      <c r="FD100" s="86"/>
      <c r="FE100" s="87"/>
    </row>
    <row r="101" spans="8:161" ht="12">
      <c r="H101" s="81"/>
      <c r="I101" s="81"/>
      <c r="S101" s="81"/>
      <c r="T101" s="81"/>
      <c r="AD101" s="81"/>
      <c r="AE101" s="81"/>
      <c r="AO101" s="66" t="s">
        <v>128</v>
      </c>
      <c r="AP101" s="140">
        <f t="shared" si="39"/>
        <v>2618.18</v>
      </c>
      <c r="BZ101" s="81"/>
      <c r="CA101" s="81"/>
      <c r="CM101" s="29"/>
      <c r="CN101" s="29"/>
      <c r="CO101" s="29"/>
      <c r="CP101" s="29"/>
      <c r="CQ101" s="29"/>
      <c r="CR101" s="29"/>
      <c r="CS101" s="29"/>
      <c r="CT101" s="29"/>
      <c r="CU101" s="81"/>
      <c r="CV101" s="81"/>
      <c r="CW101" s="409"/>
      <c r="CX101" s="409"/>
      <c r="CY101" s="409"/>
      <c r="CZ101" s="409"/>
      <c r="DA101" s="409"/>
      <c r="DB101" s="409"/>
      <c r="DC101" s="409"/>
      <c r="DD101" s="409"/>
      <c r="DE101" s="409"/>
      <c r="DF101" s="409"/>
      <c r="DG101" s="409"/>
      <c r="DH101" s="66" t="s">
        <v>128</v>
      </c>
      <c r="DI101" s="140">
        <f t="shared" si="40"/>
        <v>215.7</v>
      </c>
      <c r="DJ101" s="81"/>
      <c r="DK101" s="81"/>
      <c r="DL101" s="171"/>
      <c r="DM101" s="81"/>
      <c r="DN101" s="81"/>
      <c r="DO101" s="81"/>
      <c r="DP101" s="171"/>
      <c r="DQ101" s="81"/>
      <c r="DR101" s="81"/>
      <c r="DS101" s="81"/>
      <c r="DT101" s="81"/>
      <c r="DU101" s="86"/>
      <c r="DV101" s="87"/>
      <c r="DW101" s="81"/>
      <c r="EH101" s="86"/>
      <c r="EI101" s="87"/>
      <c r="FD101" s="86"/>
      <c r="FE101" s="87"/>
    </row>
    <row r="102" spans="8:161" ht="12">
      <c r="H102" s="81"/>
      <c r="I102" s="81"/>
      <c r="S102" s="81"/>
      <c r="T102" s="81"/>
      <c r="AD102" s="81"/>
      <c r="AE102" s="81"/>
      <c r="AO102" s="66" t="s">
        <v>129</v>
      </c>
      <c r="AP102" s="140">
        <f t="shared" si="39"/>
        <v>1120.08</v>
      </c>
      <c r="BZ102" s="81"/>
      <c r="CA102" s="81"/>
      <c r="CM102" s="29"/>
      <c r="CN102" s="29"/>
      <c r="CO102" s="29"/>
      <c r="CP102" s="29"/>
      <c r="CQ102" s="29"/>
      <c r="CR102" s="29"/>
      <c r="CS102" s="29"/>
      <c r="CT102" s="29"/>
      <c r="CU102" s="81"/>
      <c r="CV102" s="81"/>
      <c r="CW102" s="409"/>
      <c r="CX102" s="409"/>
      <c r="CY102" s="409"/>
      <c r="CZ102" s="409"/>
      <c r="DA102" s="409"/>
      <c r="DB102" s="409"/>
      <c r="DC102" s="409"/>
      <c r="DD102" s="409"/>
      <c r="DE102" s="409"/>
      <c r="DF102" s="409"/>
      <c r="DG102" s="409"/>
      <c r="DH102" s="66" t="s">
        <v>129</v>
      </c>
      <c r="DI102" s="140">
        <f t="shared" si="40"/>
        <v>240.1</v>
      </c>
      <c r="DJ102" s="81"/>
      <c r="DK102" s="81"/>
      <c r="DL102" s="171"/>
      <c r="DM102" s="81"/>
      <c r="DN102" s="81"/>
      <c r="DO102" s="81"/>
      <c r="DP102" s="171"/>
      <c r="DQ102" s="81"/>
      <c r="DR102" s="81"/>
      <c r="DS102" s="81"/>
      <c r="DT102" s="81"/>
      <c r="DU102" s="86"/>
      <c r="DV102" s="87"/>
      <c r="DW102" s="81"/>
      <c r="EH102" s="86"/>
      <c r="EI102" s="87"/>
      <c r="FD102" s="86"/>
      <c r="FE102" s="87"/>
    </row>
    <row r="103" spans="8:161" ht="12">
      <c r="H103" s="81"/>
      <c r="I103" s="81"/>
      <c r="S103" s="81"/>
      <c r="T103" s="81"/>
      <c r="AD103" s="81"/>
      <c r="AE103" s="81"/>
      <c r="AO103" s="66" t="s">
        <v>130</v>
      </c>
      <c r="AP103" s="140">
        <f t="shared" si="39"/>
        <v>1261.08</v>
      </c>
      <c r="BZ103" s="81"/>
      <c r="CA103" s="81"/>
      <c r="CM103" s="29"/>
      <c r="CN103" s="29"/>
      <c r="CO103" s="29"/>
      <c r="CP103" s="29"/>
      <c r="CQ103" s="29"/>
      <c r="CR103" s="29"/>
      <c r="CS103" s="29"/>
      <c r="CT103" s="29"/>
      <c r="CU103" s="81"/>
      <c r="CV103" s="81"/>
      <c r="CW103" s="409"/>
      <c r="CX103" s="409"/>
      <c r="CY103" s="409"/>
      <c r="CZ103" s="409"/>
      <c r="DA103" s="409"/>
      <c r="DB103" s="409"/>
      <c r="DC103" s="409"/>
      <c r="DD103" s="409"/>
      <c r="DE103" s="409"/>
      <c r="DF103" s="409"/>
      <c r="DG103" s="409"/>
      <c r="DH103" s="66" t="s">
        <v>130</v>
      </c>
      <c r="DI103" s="140">
        <f t="shared" si="40"/>
        <v>269.4</v>
      </c>
      <c r="DJ103" s="81"/>
      <c r="DK103" s="81"/>
      <c r="DL103" s="171"/>
      <c r="DM103" s="81"/>
      <c r="DN103" s="81"/>
      <c r="DO103" s="81"/>
      <c r="DP103" s="171"/>
      <c r="DQ103" s="81"/>
      <c r="DR103" s="81"/>
      <c r="DS103" s="81"/>
      <c r="DT103" s="81"/>
      <c r="DU103" s="86"/>
      <c r="DV103" s="87"/>
      <c r="DW103" s="81"/>
      <c r="EH103" s="86"/>
      <c r="EI103" s="87"/>
      <c r="FD103" s="86"/>
      <c r="FE103" s="87"/>
    </row>
    <row r="104" spans="8:161" ht="12">
      <c r="H104" s="81"/>
      <c r="I104" s="81"/>
      <c r="S104" s="81"/>
      <c r="T104" s="81"/>
      <c r="AD104" s="81"/>
      <c r="AE104" s="81"/>
      <c r="AO104" s="66" t="s">
        <v>131</v>
      </c>
      <c r="AP104" s="140">
        <f t="shared" si="39"/>
        <v>1709.01</v>
      </c>
      <c r="BZ104" s="81"/>
      <c r="CA104" s="81"/>
      <c r="CM104" s="29"/>
      <c r="CN104" s="29"/>
      <c r="CO104" s="29"/>
      <c r="CP104" s="29"/>
      <c r="CQ104" s="29"/>
      <c r="CR104" s="29"/>
      <c r="CS104" s="29"/>
      <c r="CT104" s="29"/>
      <c r="CU104" s="81"/>
      <c r="CV104" s="81"/>
      <c r="CW104" s="409"/>
      <c r="CX104" s="409"/>
      <c r="CY104" s="409"/>
      <c r="CZ104" s="409"/>
      <c r="DA104" s="409"/>
      <c r="DB104" s="409"/>
      <c r="DC104" s="409"/>
      <c r="DD104" s="409"/>
      <c r="DE104" s="409"/>
      <c r="DF104" s="409"/>
      <c r="DG104" s="409"/>
      <c r="DH104" s="66" t="s">
        <v>131</v>
      </c>
      <c r="DI104" s="140">
        <f t="shared" si="40"/>
        <v>302.2</v>
      </c>
      <c r="DJ104" s="81"/>
      <c r="DK104" s="81"/>
      <c r="DL104" s="171"/>
      <c r="DM104" s="81"/>
      <c r="DN104" s="81"/>
      <c r="DO104" s="81"/>
      <c r="DP104" s="171"/>
      <c r="DQ104" s="81"/>
      <c r="DR104" s="81"/>
      <c r="DS104" s="81"/>
      <c r="DT104" s="81"/>
      <c r="DU104" s="86"/>
      <c r="DV104" s="87"/>
      <c r="DW104" s="81"/>
      <c r="EH104" s="86"/>
      <c r="EI104" s="87"/>
      <c r="FD104" s="86"/>
      <c r="FE104" s="87"/>
    </row>
    <row r="105" spans="8:127" ht="12">
      <c r="H105" s="81"/>
      <c r="I105" s="81"/>
      <c r="S105" s="81"/>
      <c r="T105" s="81"/>
      <c r="AD105" s="81"/>
      <c r="AE105" s="81"/>
      <c r="AO105" s="66" t="s">
        <v>132</v>
      </c>
      <c r="AP105" s="140">
        <f t="shared" si="39"/>
        <v>1512.88</v>
      </c>
      <c r="BZ105" s="81"/>
      <c r="CA105" s="81"/>
      <c r="CM105" s="29"/>
      <c r="CN105" s="29"/>
      <c r="CO105" s="29"/>
      <c r="CP105" s="29"/>
      <c r="CQ105" s="29"/>
      <c r="CR105" s="29"/>
      <c r="CS105" s="29"/>
      <c r="CT105" s="29"/>
      <c r="CU105" s="81"/>
      <c r="CV105" s="81"/>
      <c r="CW105" s="409"/>
      <c r="CX105" s="409"/>
      <c r="CY105" s="409"/>
      <c r="CZ105" s="409"/>
      <c r="DA105" s="409"/>
      <c r="DB105" s="409"/>
      <c r="DC105" s="409"/>
      <c r="DD105" s="409"/>
      <c r="DE105" s="409"/>
      <c r="DF105" s="409"/>
      <c r="DG105" s="409"/>
      <c r="DH105" s="66" t="s">
        <v>132</v>
      </c>
      <c r="DI105" s="140">
        <f t="shared" si="40"/>
        <v>339</v>
      </c>
      <c r="DJ105" s="81"/>
      <c r="DK105" s="81"/>
      <c r="DL105" s="171"/>
      <c r="DM105" s="81"/>
      <c r="DN105" s="81"/>
      <c r="DO105" s="81"/>
      <c r="DP105" s="171"/>
      <c r="DQ105" s="81"/>
      <c r="DR105" s="81"/>
      <c r="DS105" s="81"/>
      <c r="DT105" s="81"/>
      <c r="DW105" s="81"/>
    </row>
    <row r="106" spans="8:127" ht="12">
      <c r="H106" s="81"/>
      <c r="I106" s="81"/>
      <c r="S106" s="81"/>
      <c r="T106" s="81"/>
      <c r="AD106" s="81"/>
      <c r="AE106" s="81"/>
      <c r="AO106" s="66" t="s">
        <v>133</v>
      </c>
      <c r="AP106" s="140">
        <f t="shared" si="39"/>
        <v>2054.37</v>
      </c>
      <c r="BZ106" s="81"/>
      <c r="CA106" s="81"/>
      <c r="CM106" s="29"/>
      <c r="CN106" s="29"/>
      <c r="CO106" s="29"/>
      <c r="CP106" s="29"/>
      <c r="CQ106" s="29"/>
      <c r="CR106" s="29"/>
      <c r="CS106" s="29"/>
      <c r="CT106" s="29"/>
      <c r="CU106" s="81"/>
      <c r="CV106" s="81"/>
      <c r="CW106" s="409"/>
      <c r="CX106" s="409"/>
      <c r="CY106" s="409"/>
      <c r="CZ106" s="409"/>
      <c r="DA106" s="409"/>
      <c r="DB106" s="409"/>
      <c r="DC106" s="409"/>
      <c r="DD106" s="409"/>
      <c r="DE106" s="409"/>
      <c r="DF106" s="409"/>
      <c r="DG106" s="409"/>
      <c r="DH106" s="66" t="s">
        <v>133</v>
      </c>
      <c r="DI106" s="140">
        <f t="shared" si="40"/>
        <v>380.3</v>
      </c>
      <c r="DJ106" s="81"/>
      <c r="DK106" s="81"/>
      <c r="DL106" s="171"/>
      <c r="DM106" s="81"/>
      <c r="DN106" s="81"/>
      <c r="DO106" s="81"/>
      <c r="DP106" s="171"/>
      <c r="DQ106" s="81"/>
      <c r="DR106" s="81"/>
      <c r="DS106" s="81"/>
      <c r="DT106" s="81"/>
      <c r="DW106" s="81"/>
    </row>
    <row r="107" spans="8:127" ht="12.75" thickBot="1">
      <c r="H107" s="81"/>
      <c r="I107" s="81"/>
      <c r="S107" s="81"/>
      <c r="T107" s="81"/>
      <c r="AD107" s="81"/>
      <c r="AE107" s="81"/>
      <c r="AO107" s="67" t="s">
        <v>134</v>
      </c>
      <c r="AP107" s="134">
        <f t="shared" si="39"/>
        <v>4840.64</v>
      </c>
      <c r="BZ107" s="81"/>
      <c r="CA107" s="81"/>
      <c r="CM107" s="29"/>
      <c r="CN107" s="29"/>
      <c r="CO107" s="29"/>
      <c r="CP107" s="29"/>
      <c r="CQ107" s="29"/>
      <c r="CR107" s="29"/>
      <c r="CS107" s="29"/>
      <c r="CT107" s="29"/>
      <c r="CU107" s="81"/>
      <c r="CV107" s="81"/>
      <c r="CW107" s="409"/>
      <c r="CX107" s="409"/>
      <c r="CY107" s="409"/>
      <c r="CZ107" s="409"/>
      <c r="DA107" s="409"/>
      <c r="DB107" s="409"/>
      <c r="DC107" s="409"/>
      <c r="DD107" s="409"/>
      <c r="DE107" s="409"/>
      <c r="DF107" s="409"/>
      <c r="DG107" s="409"/>
      <c r="DH107" s="67" t="s">
        <v>134</v>
      </c>
      <c r="DI107" s="134">
        <f t="shared" si="40"/>
        <v>426.9</v>
      </c>
      <c r="DJ107" s="81"/>
      <c r="DK107" s="81"/>
      <c r="DL107" s="171"/>
      <c r="DM107" s="81"/>
      <c r="DN107" s="81"/>
      <c r="DO107" s="81"/>
      <c r="DP107" s="171"/>
      <c r="DQ107" s="81"/>
      <c r="DR107" s="81"/>
      <c r="DS107" s="81"/>
      <c r="DT107" s="81"/>
      <c r="DW107" s="81"/>
    </row>
    <row r="108" spans="8:127" ht="12">
      <c r="H108" s="81"/>
      <c r="I108" s="81"/>
      <c r="S108" s="81"/>
      <c r="T108" s="81"/>
      <c r="AD108" s="81"/>
      <c r="AE108" s="81"/>
      <c r="BZ108" s="81"/>
      <c r="CA108" s="81"/>
      <c r="CM108" s="29"/>
      <c r="CN108" s="29"/>
      <c r="CO108" s="29"/>
      <c r="CP108" s="29"/>
      <c r="CQ108" s="29"/>
      <c r="CR108" s="29"/>
      <c r="CS108" s="29"/>
      <c r="CT108" s="29"/>
      <c r="CU108" s="81"/>
      <c r="CV108" s="81"/>
      <c r="CW108" s="409"/>
      <c r="CX108" s="409"/>
      <c r="CY108" s="409"/>
      <c r="CZ108" s="409"/>
      <c r="DA108" s="409"/>
      <c r="DB108" s="409"/>
      <c r="DC108" s="409"/>
      <c r="DD108" s="409"/>
      <c r="DE108" s="409"/>
      <c r="DF108" s="409"/>
      <c r="DG108" s="409"/>
      <c r="DJ108" s="81"/>
      <c r="DK108" s="81"/>
      <c r="DL108" s="171"/>
      <c r="DM108" s="81"/>
      <c r="DN108" s="81"/>
      <c r="DO108" s="81"/>
      <c r="DP108" s="171"/>
      <c r="DQ108" s="81"/>
      <c r="DR108" s="81"/>
      <c r="DS108" s="81"/>
      <c r="DT108" s="81"/>
      <c r="DW108" s="81"/>
    </row>
    <row r="109" spans="8:161" ht="12">
      <c r="H109" s="81"/>
      <c r="I109" s="81"/>
      <c r="S109" s="81"/>
      <c r="T109" s="81"/>
      <c r="AD109" s="81"/>
      <c r="AE109" s="81"/>
      <c r="AO109" s="86"/>
      <c r="AP109" s="87"/>
      <c r="BZ109" s="81"/>
      <c r="CA109" s="81"/>
      <c r="CM109" s="29"/>
      <c r="CN109" s="29"/>
      <c r="CO109" s="29"/>
      <c r="CP109" s="29"/>
      <c r="CQ109" s="29"/>
      <c r="CR109" s="29"/>
      <c r="CS109" s="29"/>
      <c r="CT109" s="29"/>
      <c r="CU109" s="81"/>
      <c r="CV109" s="81"/>
      <c r="CW109" s="409"/>
      <c r="CX109" s="409"/>
      <c r="CY109" s="409"/>
      <c r="CZ109" s="409"/>
      <c r="DA109" s="409"/>
      <c r="DB109" s="409"/>
      <c r="DC109" s="409"/>
      <c r="DD109" s="409"/>
      <c r="DE109" s="409"/>
      <c r="DF109" s="409"/>
      <c r="DG109" s="409"/>
      <c r="DH109" s="86"/>
      <c r="DI109" s="87"/>
      <c r="DJ109" s="81"/>
      <c r="DK109" s="81"/>
      <c r="DL109" s="171"/>
      <c r="DM109" s="81"/>
      <c r="DN109" s="81"/>
      <c r="DO109" s="81"/>
      <c r="DP109" s="171"/>
      <c r="DQ109" s="81"/>
      <c r="DR109" s="81"/>
      <c r="DS109" s="81"/>
      <c r="DT109" s="81"/>
      <c r="DU109" s="86"/>
      <c r="DV109" s="87"/>
      <c r="DW109" s="81"/>
      <c r="EH109" s="86"/>
      <c r="EI109" s="87"/>
      <c r="FD109" s="86"/>
      <c r="FE109" s="87"/>
    </row>
    <row r="110" spans="8:161" ht="12">
      <c r="H110" s="81"/>
      <c r="I110" s="81"/>
      <c r="S110" s="81"/>
      <c r="T110" s="81"/>
      <c r="AD110" s="81"/>
      <c r="AE110" s="81"/>
      <c r="AO110" s="81"/>
      <c r="AP110" s="81"/>
      <c r="BZ110" s="81"/>
      <c r="CA110" s="81"/>
      <c r="CM110" s="29"/>
      <c r="CN110" s="29"/>
      <c r="CO110" s="29"/>
      <c r="CP110" s="29"/>
      <c r="CQ110" s="29"/>
      <c r="CR110" s="29"/>
      <c r="CS110" s="29"/>
      <c r="CT110" s="29"/>
      <c r="CU110" s="81"/>
      <c r="CV110" s="81"/>
      <c r="CW110" s="409"/>
      <c r="CX110" s="409"/>
      <c r="CY110" s="409"/>
      <c r="CZ110" s="409"/>
      <c r="DA110" s="409"/>
      <c r="DB110" s="409"/>
      <c r="DC110" s="409"/>
      <c r="DD110" s="409"/>
      <c r="DE110" s="409"/>
      <c r="DF110" s="409"/>
      <c r="DG110" s="409"/>
      <c r="DH110" s="81"/>
      <c r="DI110" s="81"/>
      <c r="DJ110" s="81"/>
      <c r="DK110" s="81"/>
      <c r="DL110" s="171"/>
      <c r="DM110" s="81"/>
      <c r="DN110" s="81"/>
      <c r="DO110" s="81"/>
      <c r="DP110" s="171"/>
      <c r="DQ110" s="81"/>
      <c r="DR110" s="81"/>
      <c r="DS110" s="81"/>
      <c r="DT110" s="81"/>
      <c r="DU110" s="81"/>
      <c r="DV110" s="81"/>
      <c r="DW110" s="81"/>
      <c r="EH110" s="81"/>
      <c r="EI110" s="81"/>
      <c r="FD110" s="81"/>
      <c r="FE110" s="81"/>
    </row>
    <row r="111" spans="8:161" ht="12">
      <c r="H111" s="81"/>
      <c r="I111" s="81"/>
      <c r="S111" s="81"/>
      <c r="T111" s="81"/>
      <c r="AD111" s="81"/>
      <c r="AE111" s="81"/>
      <c r="AO111" s="81"/>
      <c r="AP111" s="81"/>
      <c r="BZ111" s="81"/>
      <c r="CA111" s="81"/>
      <c r="CM111" s="29"/>
      <c r="CN111" s="29"/>
      <c r="CO111" s="29"/>
      <c r="CP111" s="29"/>
      <c r="CQ111" s="29"/>
      <c r="CR111" s="29"/>
      <c r="CS111" s="29"/>
      <c r="CT111" s="29"/>
      <c r="CU111" s="81"/>
      <c r="CV111" s="81"/>
      <c r="CW111" s="409"/>
      <c r="CX111" s="409"/>
      <c r="CY111" s="409"/>
      <c r="CZ111" s="409"/>
      <c r="DA111" s="409"/>
      <c r="DB111" s="409"/>
      <c r="DC111" s="409"/>
      <c r="DD111" s="409"/>
      <c r="DE111" s="409"/>
      <c r="DF111" s="409"/>
      <c r="DG111" s="409"/>
      <c r="DH111" s="81"/>
      <c r="DI111" s="81"/>
      <c r="DJ111" s="81"/>
      <c r="DK111" s="81"/>
      <c r="DL111" s="171"/>
      <c r="DM111" s="81"/>
      <c r="DN111" s="81"/>
      <c r="DO111" s="81"/>
      <c r="DP111" s="171"/>
      <c r="DQ111" s="81"/>
      <c r="DR111" s="81"/>
      <c r="DS111" s="81"/>
      <c r="DT111" s="81"/>
      <c r="DU111" s="81"/>
      <c r="DV111" s="81"/>
      <c r="DW111" s="81"/>
      <c r="EH111" s="81"/>
      <c r="EI111" s="81"/>
      <c r="FD111" s="81"/>
      <c r="FE111" s="81"/>
    </row>
    <row r="112" spans="8:161" ht="12">
      <c r="H112" s="81"/>
      <c r="I112" s="81"/>
      <c r="S112" s="81"/>
      <c r="T112" s="81"/>
      <c r="AD112" s="81"/>
      <c r="AE112" s="81"/>
      <c r="AO112" s="81"/>
      <c r="AP112" s="81"/>
      <c r="BZ112" s="81"/>
      <c r="CA112" s="81"/>
      <c r="CM112" s="29"/>
      <c r="CN112" s="29"/>
      <c r="CO112" s="29"/>
      <c r="CP112" s="29"/>
      <c r="CQ112" s="29"/>
      <c r="CR112" s="29"/>
      <c r="CS112" s="29"/>
      <c r="CT112" s="29"/>
      <c r="CU112" s="81"/>
      <c r="CV112" s="81"/>
      <c r="CW112" s="409"/>
      <c r="CX112" s="409"/>
      <c r="CY112" s="409"/>
      <c r="CZ112" s="409"/>
      <c r="DA112" s="409"/>
      <c r="DB112" s="409"/>
      <c r="DC112" s="409"/>
      <c r="DD112" s="409"/>
      <c r="DE112" s="409"/>
      <c r="DF112" s="409"/>
      <c r="DG112" s="409"/>
      <c r="DH112" s="81"/>
      <c r="DI112" s="81"/>
      <c r="DJ112" s="81"/>
      <c r="DK112" s="81"/>
      <c r="DL112" s="171"/>
      <c r="DM112" s="81"/>
      <c r="DN112" s="81"/>
      <c r="DO112" s="81"/>
      <c r="DP112" s="171"/>
      <c r="DQ112" s="81"/>
      <c r="DR112" s="81"/>
      <c r="DS112" s="81"/>
      <c r="DT112" s="81"/>
      <c r="DU112" s="81"/>
      <c r="DV112" s="81"/>
      <c r="DW112" s="81"/>
      <c r="EH112" s="81"/>
      <c r="EI112" s="81"/>
      <c r="FD112" s="81"/>
      <c r="FE112" s="81"/>
    </row>
    <row r="113" spans="8:161" ht="12">
      <c r="H113" s="81"/>
      <c r="I113" s="81"/>
      <c r="S113" s="81"/>
      <c r="T113" s="81"/>
      <c r="AD113" s="81"/>
      <c r="AE113" s="81"/>
      <c r="AO113" s="81"/>
      <c r="AP113" s="81"/>
      <c r="BZ113" s="81"/>
      <c r="CA113" s="81"/>
      <c r="CM113" s="29"/>
      <c r="CN113" s="29"/>
      <c r="CO113" s="29"/>
      <c r="CP113" s="29"/>
      <c r="CQ113" s="29"/>
      <c r="CR113" s="29"/>
      <c r="CS113" s="29"/>
      <c r="CT113" s="29"/>
      <c r="CU113" s="81"/>
      <c r="CV113" s="81"/>
      <c r="CW113" s="409"/>
      <c r="CX113" s="409"/>
      <c r="CY113" s="409"/>
      <c r="CZ113" s="409"/>
      <c r="DA113" s="409"/>
      <c r="DB113" s="409"/>
      <c r="DC113" s="409"/>
      <c r="DD113" s="409"/>
      <c r="DE113" s="409"/>
      <c r="DF113" s="409"/>
      <c r="DG113" s="409"/>
      <c r="DH113" s="81"/>
      <c r="DI113" s="81"/>
      <c r="DJ113" s="81"/>
      <c r="DK113" s="81"/>
      <c r="DL113" s="171"/>
      <c r="DM113" s="81"/>
      <c r="DN113" s="81"/>
      <c r="DO113" s="81"/>
      <c r="DP113" s="171"/>
      <c r="DQ113" s="81"/>
      <c r="DR113" s="81"/>
      <c r="DS113" s="81"/>
      <c r="DT113" s="81"/>
      <c r="DU113" s="81"/>
      <c r="DV113" s="81"/>
      <c r="DW113" s="81"/>
      <c r="EH113" s="81"/>
      <c r="EI113" s="81"/>
      <c r="FD113" s="81"/>
      <c r="FE113" s="81"/>
    </row>
    <row r="114" spans="8:161" ht="12">
      <c r="H114" s="81"/>
      <c r="I114" s="81"/>
      <c r="S114" s="81"/>
      <c r="T114" s="81"/>
      <c r="AD114" s="81"/>
      <c r="AE114" s="81"/>
      <c r="AO114" s="81"/>
      <c r="AP114" s="81"/>
      <c r="BZ114" s="81"/>
      <c r="CA114" s="81"/>
      <c r="CM114" s="29"/>
      <c r="CN114" s="29"/>
      <c r="CO114" s="29"/>
      <c r="CP114" s="29"/>
      <c r="CQ114" s="29"/>
      <c r="CR114" s="29"/>
      <c r="CS114" s="29"/>
      <c r="CT114" s="29"/>
      <c r="CU114" s="81"/>
      <c r="CV114" s="81"/>
      <c r="CW114" s="409"/>
      <c r="CX114" s="409"/>
      <c r="CY114" s="409"/>
      <c r="CZ114" s="409"/>
      <c r="DA114" s="409"/>
      <c r="DB114" s="409"/>
      <c r="DC114" s="409"/>
      <c r="DD114" s="409"/>
      <c r="DE114" s="409"/>
      <c r="DF114" s="409"/>
      <c r="DG114" s="409"/>
      <c r="DH114" s="81"/>
      <c r="DI114" s="81"/>
      <c r="DJ114" s="81"/>
      <c r="DK114" s="81"/>
      <c r="DL114" s="171"/>
      <c r="DM114" s="81"/>
      <c r="DN114" s="81"/>
      <c r="DO114" s="81"/>
      <c r="DP114" s="171"/>
      <c r="DQ114" s="81"/>
      <c r="DR114" s="81"/>
      <c r="DS114" s="81"/>
      <c r="DT114" s="81"/>
      <c r="DU114" s="81"/>
      <c r="DV114" s="81"/>
      <c r="DW114" s="81"/>
      <c r="EH114" s="81"/>
      <c r="EI114" s="81"/>
      <c r="FD114" s="81"/>
      <c r="FE114" s="81"/>
    </row>
    <row r="115" spans="8:161" ht="12">
      <c r="H115" s="81"/>
      <c r="I115" s="81"/>
      <c r="S115" s="81"/>
      <c r="T115" s="81"/>
      <c r="AD115" s="81"/>
      <c r="AE115" s="81"/>
      <c r="AO115" s="81"/>
      <c r="AP115" s="81"/>
      <c r="BZ115" s="81"/>
      <c r="CA115" s="81"/>
      <c r="CM115" s="29"/>
      <c r="CN115" s="29"/>
      <c r="CO115" s="29"/>
      <c r="CP115" s="29"/>
      <c r="CQ115" s="29"/>
      <c r="CR115" s="29"/>
      <c r="CS115" s="29"/>
      <c r="CT115" s="29"/>
      <c r="CU115" s="81"/>
      <c r="CV115" s="81"/>
      <c r="CW115" s="409"/>
      <c r="CX115" s="409"/>
      <c r="CY115" s="409"/>
      <c r="CZ115" s="409"/>
      <c r="DA115" s="409"/>
      <c r="DB115" s="409"/>
      <c r="DC115" s="409"/>
      <c r="DD115" s="409"/>
      <c r="DE115" s="409"/>
      <c r="DF115" s="409"/>
      <c r="DG115" s="409"/>
      <c r="DH115" s="81"/>
      <c r="DI115" s="81"/>
      <c r="DJ115" s="81"/>
      <c r="DK115" s="81"/>
      <c r="DL115" s="171"/>
      <c r="DM115" s="81"/>
      <c r="DN115" s="81"/>
      <c r="DO115" s="81"/>
      <c r="DP115" s="171"/>
      <c r="DQ115" s="81"/>
      <c r="DR115" s="81"/>
      <c r="DS115" s="81"/>
      <c r="DT115" s="81"/>
      <c r="DU115" s="81"/>
      <c r="DV115" s="81"/>
      <c r="DW115" s="81"/>
      <c r="EH115" s="81"/>
      <c r="EI115" s="81"/>
      <c r="FD115" s="81"/>
      <c r="FE115" s="81"/>
    </row>
    <row r="116" spans="8:161" ht="12">
      <c r="H116" s="81"/>
      <c r="I116" s="81"/>
      <c r="S116" s="81"/>
      <c r="T116" s="81"/>
      <c r="AD116" s="81"/>
      <c r="AE116" s="81"/>
      <c r="AO116" s="81"/>
      <c r="AP116" s="81"/>
      <c r="BZ116" s="81"/>
      <c r="CA116" s="81"/>
      <c r="CM116" s="29"/>
      <c r="CN116" s="29"/>
      <c r="CO116" s="29"/>
      <c r="CP116" s="29"/>
      <c r="CQ116" s="29"/>
      <c r="CR116" s="29"/>
      <c r="CS116" s="29"/>
      <c r="CT116" s="29"/>
      <c r="CU116" s="81"/>
      <c r="CV116" s="81"/>
      <c r="CW116" s="409"/>
      <c r="CX116" s="409"/>
      <c r="CY116" s="409"/>
      <c r="CZ116" s="409"/>
      <c r="DA116" s="409"/>
      <c r="DB116" s="409"/>
      <c r="DC116" s="409"/>
      <c r="DD116" s="409"/>
      <c r="DE116" s="409"/>
      <c r="DF116" s="409"/>
      <c r="DG116" s="409"/>
      <c r="DH116" s="81"/>
      <c r="DI116" s="81"/>
      <c r="DJ116" s="81"/>
      <c r="DK116" s="81"/>
      <c r="DL116" s="171"/>
      <c r="DM116" s="81"/>
      <c r="DN116" s="81"/>
      <c r="DO116" s="81"/>
      <c r="DP116" s="171"/>
      <c r="DQ116" s="81"/>
      <c r="DR116" s="81"/>
      <c r="DS116" s="81"/>
      <c r="DT116" s="81"/>
      <c r="DU116" s="81"/>
      <c r="DV116" s="81"/>
      <c r="DW116" s="81"/>
      <c r="EH116" s="81"/>
      <c r="EI116" s="81"/>
      <c r="FD116" s="81"/>
      <c r="FE116" s="81"/>
    </row>
    <row r="117" spans="8:161" ht="12">
      <c r="H117" s="81"/>
      <c r="I117" s="81"/>
      <c r="S117" s="81"/>
      <c r="T117" s="81"/>
      <c r="AD117" s="81"/>
      <c r="AE117" s="81"/>
      <c r="AO117" s="81"/>
      <c r="AP117" s="81"/>
      <c r="BZ117" s="81"/>
      <c r="CA117" s="81"/>
      <c r="CM117" s="29"/>
      <c r="CN117" s="29"/>
      <c r="CO117" s="29"/>
      <c r="CP117" s="29"/>
      <c r="CQ117" s="29"/>
      <c r="CR117" s="29"/>
      <c r="CS117" s="29"/>
      <c r="CT117" s="29"/>
      <c r="CU117" s="81"/>
      <c r="CV117" s="81"/>
      <c r="CW117" s="409"/>
      <c r="CX117" s="409"/>
      <c r="CY117" s="409"/>
      <c r="CZ117" s="409"/>
      <c r="DA117" s="409"/>
      <c r="DB117" s="409"/>
      <c r="DC117" s="409"/>
      <c r="DD117" s="409"/>
      <c r="DE117" s="409"/>
      <c r="DF117" s="409"/>
      <c r="DG117" s="409"/>
      <c r="DH117" s="81"/>
      <c r="DI117" s="81"/>
      <c r="DJ117" s="81"/>
      <c r="DK117" s="81"/>
      <c r="DL117" s="171"/>
      <c r="DM117" s="81"/>
      <c r="DN117" s="81"/>
      <c r="DO117" s="81"/>
      <c r="DP117" s="171"/>
      <c r="DQ117" s="81"/>
      <c r="DR117" s="81"/>
      <c r="DS117" s="81"/>
      <c r="DT117" s="81"/>
      <c r="DU117" s="81"/>
      <c r="DV117" s="81"/>
      <c r="DW117" s="81"/>
      <c r="EH117" s="81"/>
      <c r="EI117" s="81"/>
      <c r="FD117" s="81"/>
      <c r="FE117" s="81"/>
    </row>
    <row r="118" spans="8:161" ht="12">
      <c r="H118" s="81"/>
      <c r="I118" s="81"/>
      <c r="S118" s="81"/>
      <c r="T118" s="81"/>
      <c r="AD118" s="81"/>
      <c r="AE118" s="81"/>
      <c r="AO118" s="81"/>
      <c r="AP118" s="81"/>
      <c r="BZ118" s="81"/>
      <c r="CA118" s="81"/>
      <c r="CM118" s="29"/>
      <c r="CN118" s="29"/>
      <c r="CO118" s="29"/>
      <c r="CP118" s="29"/>
      <c r="CQ118" s="29"/>
      <c r="CR118" s="29"/>
      <c r="CS118" s="29"/>
      <c r="CT118" s="29"/>
      <c r="CU118" s="81"/>
      <c r="CV118" s="81"/>
      <c r="CW118" s="409"/>
      <c r="CX118" s="409"/>
      <c r="CY118" s="409"/>
      <c r="CZ118" s="409"/>
      <c r="DA118" s="409"/>
      <c r="DB118" s="409"/>
      <c r="DC118" s="409"/>
      <c r="DD118" s="409"/>
      <c r="DE118" s="409"/>
      <c r="DF118" s="409"/>
      <c r="DG118" s="409"/>
      <c r="DH118" s="81"/>
      <c r="DI118" s="81"/>
      <c r="DJ118" s="81"/>
      <c r="DK118" s="81"/>
      <c r="DL118" s="171"/>
      <c r="DM118" s="81"/>
      <c r="DN118" s="81"/>
      <c r="DO118" s="81"/>
      <c r="DP118" s="171"/>
      <c r="DQ118" s="81"/>
      <c r="DR118" s="81"/>
      <c r="DS118" s="81"/>
      <c r="DT118" s="81"/>
      <c r="DU118" s="81"/>
      <c r="DV118" s="81"/>
      <c r="DW118" s="81"/>
      <c r="EH118" s="81"/>
      <c r="EI118" s="81"/>
      <c r="FD118" s="81"/>
      <c r="FE118" s="81"/>
    </row>
    <row r="119" spans="8:161" ht="12">
      <c r="H119" s="81"/>
      <c r="I119" s="81"/>
      <c r="S119" s="81"/>
      <c r="T119" s="81"/>
      <c r="AD119" s="81"/>
      <c r="AE119" s="81"/>
      <c r="AO119" s="81"/>
      <c r="AP119" s="81"/>
      <c r="BZ119" s="81"/>
      <c r="CA119" s="81"/>
      <c r="CM119" s="29"/>
      <c r="CN119" s="29"/>
      <c r="CO119" s="29"/>
      <c r="CP119" s="29"/>
      <c r="CQ119" s="29"/>
      <c r="CR119" s="29"/>
      <c r="CS119" s="29"/>
      <c r="CT119" s="29"/>
      <c r="CU119" s="81"/>
      <c r="CV119" s="81"/>
      <c r="CW119" s="409"/>
      <c r="CX119" s="409"/>
      <c r="CY119" s="409"/>
      <c r="CZ119" s="409"/>
      <c r="DA119" s="409"/>
      <c r="DB119" s="409"/>
      <c r="DC119" s="409"/>
      <c r="DD119" s="409"/>
      <c r="DE119" s="409"/>
      <c r="DF119" s="409"/>
      <c r="DG119" s="409"/>
      <c r="DH119" s="81"/>
      <c r="DI119" s="81"/>
      <c r="DJ119" s="81"/>
      <c r="DK119" s="81"/>
      <c r="DL119" s="171"/>
      <c r="DM119" s="81"/>
      <c r="DN119" s="81"/>
      <c r="DO119" s="81"/>
      <c r="DP119" s="171"/>
      <c r="DQ119" s="81"/>
      <c r="DR119" s="81"/>
      <c r="DS119" s="81"/>
      <c r="DT119" s="81"/>
      <c r="DU119" s="81"/>
      <c r="DV119" s="81"/>
      <c r="DW119" s="81"/>
      <c r="EH119" s="81"/>
      <c r="EI119" s="81"/>
      <c r="FD119" s="81"/>
      <c r="FE119" s="81"/>
    </row>
    <row r="120" spans="8:161" ht="12">
      <c r="H120" s="81"/>
      <c r="I120" s="81"/>
      <c r="S120" s="81"/>
      <c r="T120" s="81"/>
      <c r="AD120" s="81"/>
      <c r="AE120" s="81"/>
      <c r="AO120" s="81"/>
      <c r="AP120" s="81"/>
      <c r="BZ120" s="81"/>
      <c r="CA120" s="81"/>
      <c r="CM120" s="29"/>
      <c r="CN120" s="29"/>
      <c r="CO120" s="29"/>
      <c r="CP120" s="29"/>
      <c r="CQ120" s="29"/>
      <c r="CR120" s="29"/>
      <c r="CS120" s="29"/>
      <c r="CT120" s="29"/>
      <c r="CU120" s="81"/>
      <c r="CV120" s="81"/>
      <c r="CW120" s="409"/>
      <c r="CX120" s="409"/>
      <c r="CY120" s="409"/>
      <c r="CZ120" s="409"/>
      <c r="DA120" s="409"/>
      <c r="DB120" s="409"/>
      <c r="DC120" s="409"/>
      <c r="DD120" s="409"/>
      <c r="DE120" s="409"/>
      <c r="DF120" s="409"/>
      <c r="DG120" s="409"/>
      <c r="DH120" s="81"/>
      <c r="DI120" s="81"/>
      <c r="DJ120" s="81"/>
      <c r="DK120" s="81"/>
      <c r="DL120" s="171"/>
      <c r="DM120" s="81"/>
      <c r="DN120" s="81"/>
      <c r="DO120" s="81"/>
      <c r="DP120" s="171"/>
      <c r="DQ120" s="81"/>
      <c r="DR120" s="81"/>
      <c r="DS120" s="81"/>
      <c r="DT120" s="81"/>
      <c r="DU120" s="81"/>
      <c r="DV120" s="81"/>
      <c r="DW120" s="81"/>
      <c r="EH120" s="81"/>
      <c r="EI120" s="81"/>
      <c r="FD120" s="81"/>
      <c r="FE120" s="81"/>
    </row>
    <row r="121" spans="8:161" ht="12">
      <c r="H121" s="81"/>
      <c r="I121" s="81"/>
      <c r="S121" s="81"/>
      <c r="T121" s="81"/>
      <c r="AD121" s="81"/>
      <c r="AE121" s="81"/>
      <c r="AO121" s="81"/>
      <c r="AP121" s="81"/>
      <c r="BZ121" s="81"/>
      <c r="CA121" s="81"/>
      <c r="CM121" s="29"/>
      <c r="CN121" s="29"/>
      <c r="CO121" s="29"/>
      <c r="CP121" s="29"/>
      <c r="CQ121" s="29"/>
      <c r="CR121" s="29"/>
      <c r="CS121" s="29"/>
      <c r="CT121" s="29"/>
      <c r="CU121" s="81"/>
      <c r="CV121" s="81"/>
      <c r="CW121" s="409"/>
      <c r="CX121" s="409"/>
      <c r="CY121" s="409"/>
      <c r="CZ121" s="409"/>
      <c r="DA121" s="409"/>
      <c r="DB121" s="409"/>
      <c r="DC121" s="409"/>
      <c r="DD121" s="409"/>
      <c r="DE121" s="409"/>
      <c r="DF121" s="409"/>
      <c r="DG121" s="409"/>
      <c r="DH121" s="81"/>
      <c r="DI121" s="81"/>
      <c r="DJ121" s="81"/>
      <c r="DK121" s="81"/>
      <c r="DL121" s="171"/>
      <c r="DM121" s="81"/>
      <c r="DN121" s="81"/>
      <c r="DO121" s="81"/>
      <c r="DP121" s="171"/>
      <c r="DQ121" s="81"/>
      <c r="DR121" s="81"/>
      <c r="DS121" s="81"/>
      <c r="DT121" s="81"/>
      <c r="DU121" s="81"/>
      <c r="DV121" s="81"/>
      <c r="DW121" s="81"/>
      <c r="EH121" s="81"/>
      <c r="EI121" s="81"/>
      <c r="FD121" s="81"/>
      <c r="FE121" s="81"/>
    </row>
    <row r="122" spans="8:161" ht="12">
      <c r="H122" s="81"/>
      <c r="I122" s="81"/>
      <c r="S122" s="81"/>
      <c r="T122" s="81"/>
      <c r="AD122" s="81"/>
      <c r="AE122" s="81"/>
      <c r="AO122" s="81"/>
      <c r="AP122" s="81"/>
      <c r="BZ122" s="81"/>
      <c r="CA122" s="81"/>
      <c r="CM122" s="29"/>
      <c r="CN122" s="29"/>
      <c r="CO122" s="29"/>
      <c r="CP122" s="29"/>
      <c r="CQ122" s="29"/>
      <c r="CR122" s="29"/>
      <c r="CS122" s="29"/>
      <c r="CT122" s="29"/>
      <c r="CU122" s="81"/>
      <c r="CV122" s="81"/>
      <c r="CW122" s="409"/>
      <c r="CX122" s="409"/>
      <c r="CY122" s="409"/>
      <c r="CZ122" s="409"/>
      <c r="DA122" s="409"/>
      <c r="DB122" s="409"/>
      <c r="DC122" s="409"/>
      <c r="DD122" s="409"/>
      <c r="DE122" s="409"/>
      <c r="DF122" s="409"/>
      <c r="DG122" s="409"/>
      <c r="DH122" s="81"/>
      <c r="DI122" s="81"/>
      <c r="DJ122" s="81"/>
      <c r="DK122" s="81"/>
      <c r="DL122" s="171"/>
      <c r="DM122" s="81"/>
      <c r="DN122" s="81"/>
      <c r="DO122" s="81"/>
      <c r="DP122" s="171"/>
      <c r="DQ122" s="81"/>
      <c r="DR122" s="81"/>
      <c r="DS122" s="81"/>
      <c r="DT122" s="81"/>
      <c r="DU122" s="81"/>
      <c r="DV122" s="81"/>
      <c r="DW122" s="81"/>
      <c r="EH122" s="81"/>
      <c r="EI122" s="81"/>
      <c r="FD122" s="81"/>
      <c r="FE122" s="81"/>
    </row>
    <row r="123" spans="8:161" ht="12">
      <c r="H123" s="81"/>
      <c r="I123" s="81"/>
      <c r="S123" s="81"/>
      <c r="T123" s="81"/>
      <c r="AD123" s="81"/>
      <c r="AE123" s="81"/>
      <c r="AO123" s="81"/>
      <c r="AP123" s="81"/>
      <c r="BZ123" s="81"/>
      <c r="CA123" s="81"/>
      <c r="CU123" s="81"/>
      <c r="CV123" s="81"/>
      <c r="CW123" s="409"/>
      <c r="CX123" s="409"/>
      <c r="CY123" s="409"/>
      <c r="CZ123" s="409"/>
      <c r="DA123" s="409"/>
      <c r="DB123" s="409"/>
      <c r="DC123" s="409"/>
      <c r="DD123" s="409"/>
      <c r="DE123" s="409"/>
      <c r="DF123" s="409"/>
      <c r="DG123" s="409"/>
      <c r="DH123" s="81"/>
      <c r="DI123" s="81"/>
      <c r="DJ123" s="81"/>
      <c r="DK123" s="81"/>
      <c r="DL123" s="171"/>
      <c r="DM123" s="81"/>
      <c r="DN123" s="81"/>
      <c r="DO123" s="81"/>
      <c r="DP123" s="171"/>
      <c r="DQ123" s="81"/>
      <c r="DR123" s="81"/>
      <c r="DS123" s="81"/>
      <c r="DT123" s="81"/>
      <c r="DU123" s="81"/>
      <c r="DV123" s="81"/>
      <c r="DW123" s="81"/>
      <c r="EH123" s="81"/>
      <c r="EI123" s="81"/>
      <c r="FD123" s="81"/>
      <c r="FE123" s="81"/>
    </row>
    <row r="124" spans="8:161" ht="12">
      <c r="H124" s="81"/>
      <c r="I124" s="81"/>
      <c r="S124" s="81"/>
      <c r="T124" s="81"/>
      <c r="AD124" s="81"/>
      <c r="AE124" s="81"/>
      <c r="AO124" s="81"/>
      <c r="AP124" s="81"/>
      <c r="BZ124" s="81"/>
      <c r="CA124" s="81"/>
      <c r="CU124" s="81"/>
      <c r="CV124" s="81"/>
      <c r="CW124" s="409"/>
      <c r="CX124" s="409"/>
      <c r="CY124" s="409"/>
      <c r="CZ124" s="409"/>
      <c r="DA124" s="409"/>
      <c r="DB124" s="409"/>
      <c r="DC124" s="409"/>
      <c r="DD124" s="409"/>
      <c r="DE124" s="409"/>
      <c r="DF124" s="409"/>
      <c r="DG124" s="409"/>
      <c r="DH124" s="81"/>
      <c r="DI124" s="81"/>
      <c r="DJ124" s="81"/>
      <c r="DK124" s="81"/>
      <c r="DL124" s="171"/>
      <c r="DM124" s="81"/>
      <c r="DN124" s="81"/>
      <c r="DO124" s="81"/>
      <c r="DP124" s="171"/>
      <c r="DQ124" s="81"/>
      <c r="DR124" s="81"/>
      <c r="DS124" s="81"/>
      <c r="DT124" s="81"/>
      <c r="DU124" s="81"/>
      <c r="DV124" s="81"/>
      <c r="DW124" s="81"/>
      <c r="EH124" s="81"/>
      <c r="EI124" s="81"/>
      <c r="FD124" s="81"/>
      <c r="FE124" s="81"/>
    </row>
    <row r="125" spans="8:161" ht="12">
      <c r="H125" s="81"/>
      <c r="I125" s="81"/>
      <c r="S125" s="81"/>
      <c r="T125" s="81"/>
      <c r="AD125" s="81"/>
      <c r="AE125" s="81"/>
      <c r="AO125" s="81"/>
      <c r="AP125" s="81"/>
      <c r="BZ125" s="81"/>
      <c r="CA125" s="81"/>
      <c r="CU125" s="81"/>
      <c r="CV125" s="81"/>
      <c r="CW125" s="409"/>
      <c r="CX125" s="409"/>
      <c r="CY125" s="409"/>
      <c r="CZ125" s="409"/>
      <c r="DA125" s="409"/>
      <c r="DB125" s="409"/>
      <c r="DC125" s="409"/>
      <c r="DD125" s="409"/>
      <c r="DE125" s="409"/>
      <c r="DF125" s="409"/>
      <c r="DG125" s="409"/>
      <c r="DH125" s="81"/>
      <c r="DI125" s="81"/>
      <c r="DJ125" s="81"/>
      <c r="DK125" s="81"/>
      <c r="DL125" s="171"/>
      <c r="DM125" s="81"/>
      <c r="DN125" s="81"/>
      <c r="DO125" s="81"/>
      <c r="DP125" s="171"/>
      <c r="DQ125" s="81"/>
      <c r="DR125" s="81"/>
      <c r="DS125" s="81"/>
      <c r="DT125" s="81"/>
      <c r="DU125" s="81"/>
      <c r="DV125" s="81"/>
      <c r="DW125" s="81"/>
      <c r="EH125" s="81"/>
      <c r="EI125" s="81"/>
      <c r="FD125" s="81"/>
      <c r="FE125" s="81"/>
    </row>
    <row r="126" spans="8:161" ht="12">
      <c r="H126" s="81"/>
      <c r="I126" s="81"/>
      <c r="S126" s="81"/>
      <c r="T126" s="81"/>
      <c r="AD126" s="81"/>
      <c r="AE126" s="81"/>
      <c r="AO126" s="81"/>
      <c r="AP126" s="81"/>
      <c r="BZ126" s="81"/>
      <c r="CA126" s="81"/>
      <c r="CU126" s="81"/>
      <c r="CV126" s="81"/>
      <c r="CW126" s="409"/>
      <c r="CX126" s="409"/>
      <c r="CY126" s="409"/>
      <c r="CZ126" s="409"/>
      <c r="DA126" s="409"/>
      <c r="DB126" s="409"/>
      <c r="DC126" s="409"/>
      <c r="DD126" s="409"/>
      <c r="DE126" s="409"/>
      <c r="DF126" s="409"/>
      <c r="DG126" s="409"/>
      <c r="DH126" s="81"/>
      <c r="DI126" s="81"/>
      <c r="DJ126" s="81"/>
      <c r="DK126" s="81"/>
      <c r="DL126" s="171"/>
      <c r="DM126" s="81"/>
      <c r="DN126" s="81"/>
      <c r="DO126" s="81"/>
      <c r="DP126" s="171"/>
      <c r="DQ126" s="81"/>
      <c r="DR126" s="81"/>
      <c r="DS126" s="81"/>
      <c r="DT126" s="81"/>
      <c r="DU126" s="81"/>
      <c r="DV126" s="81"/>
      <c r="DW126" s="81"/>
      <c r="EH126" s="81"/>
      <c r="EI126" s="81"/>
      <c r="FD126" s="81"/>
      <c r="FE126" s="81"/>
    </row>
    <row r="127" spans="8:161" ht="12">
      <c r="H127" s="81"/>
      <c r="I127" s="81"/>
      <c r="S127" s="81"/>
      <c r="T127" s="81"/>
      <c r="AD127" s="81"/>
      <c r="AE127" s="81"/>
      <c r="AO127" s="81"/>
      <c r="AP127" s="81"/>
      <c r="BZ127" s="81"/>
      <c r="CA127" s="81"/>
      <c r="CU127" s="81"/>
      <c r="CV127" s="81"/>
      <c r="CW127" s="409"/>
      <c r="CX127" s="409"/>
      <c r="CY127" s="409"/>
      <c r="CZ127" s="409"/>
      <c r="DA127" s="409"/>
      <c r="DB127" s="409"/>
      <c r="DC127" s="409"/>
      <c r="DD127" s="409"/>
      <c r="DE127" s="409"/>
      <c r="DF127" s="409"/>
      <c r="DG127" s="409"/>
      <c r="DH127" s="81"/>
      <c r="DI127" s="81"/>
      <c r="DJ127" s="81"/>
      <c r="DK127" s="81"/>
      <c r="DL127" s="171"/>
      <c r="DM127" s="81"/>
      <c r="DN127" s="81"/>
      <c r="DO127" s="81"/>
      <c r="DP127" s="171"/>
      <c r="DQ127" s="81"/>
      <c r="DR127" s="81"/>
      <c r="DS127" s="81"/>
      <c r="DT127" s="81"/>
      <c r="DU127" s="81"/>
      <c r="DV127" s="81"/>
      <c r="DW127" s="81"/>
      <c r="EH127" s="81"/>
      <c r="EI127" s="81"/>
      <c r="FD127" s="81"/>
      <c r="FE127" s="81"/>
    </row>
    <row r="128" spans="8:161" ht="12">
      <c r="H128" s="81"/>
      <c r="I128" s="81"/>
      <c r="S128" s="81"/>
      <c r="T128" s="81"/>
      <c r="AD128" s="81"/>
      <c r="AE128" s="81"/>
      <c r="AO128" s="81"/>
      <c r="AP128" s="81"/>
      <c r="BZ128" s="81"/>
      <c r="CA128" s="81"/>
      <c r="CU128" s="81"/>
      <c r="CV128" s="81"/>
      <c r="CW128" s="409"/>
      <c r="CX128" s="409"/>
      <c r="CY128" s="409"/>
      <c r="CZ128" s="409"/>
      <c r="DA128" s="409"/>
      <c r="DB128" s="409"/>
      <c r="DC128" s="409"/>
      <c r="DD128" s="409"/>
      <c r="DE128" s="409"/>
      <c r="DF128" s="409"/>
      <c r="DG128" s="409"/>
      <c r="DH128" s="81"/>
      <c r="DI128" s="81"/>
      <c r="DJ128" s="81"/>
      <c r="DK128" s="81"/>
      <c r="DL128" s="171"/>
      <c r="DM128" s="81"/>
      <c r="DN128" s="81"/>
      <c r="DO128" s="81"/>
      <c r="DP128" s="171"/>
      <c r="DQ128" s="81"/>
      <c r="DR128" s="81"/>
      <c r="DS128" s="81"/>
      <c r="DT128" s="81"/>
      <c r="DU128" s="81"/>
      <c r="DV128" s="81"/>
      <c r="DW128" s="81"/>
      <c r="EH128" s="81"/>
      <c r="EI128" s="81"/>
      <c r="FD128" s="81"/>
      <c r="FE128" s="81"/>
    </row>
    <row r="129" spans="8:161" ht="12">
      <c r="H129" s="81"/>
      <c r="I129" s="81"/>
      <c r="S129" s="81"/>
      <c r="T129" s="81"/>
      <c r="AD129" s="81"/>
      <c r="AE129" s="81"/>
      <c r="AO129" s="81"/>
      <c r="AP129" s="81"/>
      <c r="BZ129" s="81"/>
      <c r="CA129" s="81"/>
      <c r="CU129" s="81"/>
      <c r="CV129" s="81"/>
      <c r="CW129" s="409"/>
      <c r="CX129" s="409"/>
      <c r="CY129" s="409"/>
      <c r="CZ129" s="409"/>
      <c r="DA129" s="409"/>
      <c r="DB129" s="409"/>
      <c r="DC129" s="409"/>
      <c r="DD129" s="409"/>
      <c r="DE129" s="409"/>
      <c r="DF129" s="409"/>
      <c r="DG129" s="409"/>
      <c r="DH129" s="81"/>
      <c r="DI129" s="81"/>
      <c r="DJ129" s="81"/>
      <c r="DK129" s="81"/>
      <c r="DL129" s="171"/>
      <c r="DM129" s="81"/>
      <c r="DN129" s="81"/>
      <c r="DO129" s="81"/>
      <c r="DP129" s="171"/>
      <c r="DQ129" s="81"/>
      <c r="DR129" s="81"/>
      <c r="DS129" s="81"/>
      <c r="DT129" s="81"/>
      <c r="DU129" s="81"/>
      <c r="DV129" s="81"/>
      <c r="DW129" s="81"/>
      <c r="EH129" s="81"/>
      <c r="EI129" s="81"/>
      <c r="FD129" s="81"/>
      <c r="FE129" s="81"/>
    </row>
    <row r="130" spans="8:161" ht="12">
      <c r="H130" s="81"/>
      <c r="I130" s="81"/>
      <c r="S130" s="81"/>
      <c r="T130" s="81"/>
      <c r="AD130" s="81"/>
      <c r="AE130" s="81"/>
      <c r="AO130" s="81"/>
      <c r="AP130" s="81"/>
      <c r="BZ130" s="81"/>
      <c r="CA130" s="81"/>
      <c r="CU130" s="81"/>
      <c r="CV130" s="81"/>
      <c r="CW130" s="409"/>
      <c r="CX130" s="409"/>
      <c r="CY130" s="409"/>
      <c r="CZ130" s="409"/>
      <c r="DA130" s="409"/>
      <c r="DB130" s="409"/>
      <c r="DC130" s="409"/>
      <c r="DD130" s="409"/>
      <c r="DE130" s="409"/>
      <c r="DF130" s="409"/>
      <c r="DG130" s="409"/>
      <c r="DH130" s="81"/>
      <c r="DI130" s="81"/>
      <c r="DJ130" s="81"/>
      <c r="DK130" s="81"/>
      <c r="DL130" s="171"/>
      <c r="DM130" s="81"/>
      <c r="DN130" s="81"/>
      <c r="DO130" s="81"/>
      <c r="DP130" s="171"/>
      <c r="DQ130" s="81"/>
      <c r="DR130" s="81"/>
      <c r="DS130" s="81"/>
      <c r="DT130" s="81"/>
      <c r="DU130" s="81"/>
      <c r="DV130" s="81"/>
      <c r="DW130" s="81"/>
      <c r="EH130" s="81"/>
      <c r="EI130" s="81"/>
      <c r="FD130" s="81"/>
      <c r="FE130" s="81"/>
    </row>
    <row r="131" spans="8:161" ht="12">
      <c r="H131" s="81"/>
      <c r="I131" s="81"/>
      <c r="S131" s="81"/>
      <c r="T131" s="81"/>
      <c r="AD131" s="81"/>
      <c r="AE131" s="81"/>
      <c r="AO131" s="81"/>
      <c r="AP131" s="81"/>
      <c r="BZ131" s="81"/>
      <c r="CA131" s="81"/>
      <c r="CU131" s="81"/>
      <c r="CV131" s="81"/>
      <c r="CW131" s="409"/>
      <c r="CX131" s="409"/>
      <c r="CY131" s="409"/>
      <c r="CZ131" s="409"/>
      <c r="DA131" s="409"/>
      <c r="DB131" s="409"/>
      <c r="DC131" s="409"/>
      <c r="DD131" s="409"/>
      <c r="DE131" s="409"/>
      <c r="DF131" s="409"/>
      <c r="DG131" s="409"/>
      <c r="DH131" s="81"/>
      <c r="DI131" s="81"/>
      <c r="DJ131" s="81"/>
      <c r="DK131" s="81"/>
      <c r="DL131" s="171"/>
      <c r="DM131" s="81"/>
      <c r="DN131" s="81"/>
      <c r="DO131" s="81"/>
      <c r="DP131" s="171"/>
      <c r="DQ131" s="81"/>
      <c r="DR131" s="81"/>
      <c r="DS131" s="81"/>
      <c r="DT131" s="81"/>
      <c r="DU131" s="81"/>
      <c r="DV131" s="81"/>
      <c r="DW131" s="81"/>
      <c r="EH131" s="81"/>
      <c r="EI131" s="81"/>
      <c r="FD131" s="81"/>
      <c r="FE131" s="81"/>
    </row>
    <row r="132" spans="101:127" ht="12">
      <c r="CW132" s="409"/>
      <c r="CX132" s="409"/>
      <c r="CY132" s="409"/>
      <c r="CZ132" s="409"/>
      <c r="DA132" s="409"/>
      <c r="DB132" s="409"/>
      <c r="DC132" s="409"/>
      <c r="DD132" s="409"/>
      <c r="DE132" s="409"/>
      <c r="DF132" s="409"/>
      <c r="DG132" s="409"/>
      <c r="DJ132" s="81"/>
      <c r="DK132" s="81"/>
      <c r="DL132" s="171"/>
      <c r="DM132" s="81"/>
      <c r="DN132" s="81"/>
      <c r="DO132" s="81"/>
      <c r="DP132" s="171"/>
      <c r="DQ132" s="81"/>
      <c r="DR132" s="81"/>
      <c r="DS132" s="81"/>
      <c r="DT132" s="81"/>
      <c r="DW132" s="81"/>
    </row>
    <row r="133" spans="101:127" ht="12">
      <c r="CW133" s="409"/>
      <c r="CX133" s="409"/>
      <c r="CY133" s="409"/>
      <c r="CZ133" s="409"/>
      <c r="DA133" s="409"/>
      <c r="DB133" s="409"/>
      <c r="DC133" s="409"/>
      <c r="DD133" s="409"/>
      <c r="DE133" s="409"/>
      <c r="DF133" s="409"/>
      <c r="DG133" s="409"/>
      <c r="DJ133" s="81"/>
      <c r="DK133" s="81"/>
      <c r="DL133" s="171"/>
      <c r="DM133" s="81"/>
      <c r="DN133" s="81"/>
      <c r="DO133" s="81"/>
      <c r="DP133" s="171"/>
      <c r="DQ133" s="81"/>
      <c r="DR133" s="81"/>
      <c r="DS133" s="81"/>
      <c r="DT133" s="81"/>
      <c r="DW133" s="81"/>
    </row>
    <row r="134" spans="101:127" ht="12">
      <c r="CW134" s="409"/>
      <c r="CX134" s="409"/>
      <c r="CY134" s="409"/>
      <c r="CZ134" s="409"/>
      <c r="DA134" s="409"/>
      <c r="DB134" s="409"/>
      <c r="DC134" s="409"/>
      <c r="DD134" s="409"/>
      <c r="DE134" s="409"/>
      <c r="DF134" s="409"/>
      <c r="DG134" s="409"/>
      <c r="DJ134" s="81"/>
      <c r="DK134" s="81"/>
      <c r="DL134" s="171"/>
      <c r="DM134" s="81"/>
      <c r="DN134" s="81"/>
      <c r="DO134" s="81"/>
      <c r="DP134" s="171"/>
      <c r="DQ134" s="81"/>
      <c r="DR134" s="81"/>
      <c r="DS134" s="81"/>
      <c r="DT134" s="81"/>
      <c r="DW134" s="81"/>
    </row>
    <row r="135" spans="101:127" ht="12">
      <c r="CW135" s="409"/>
      <c r="CX135" s="409"/>
      <c r="CY135" s="409"/>
      <c r="CZ135" s="409"/>
      <c r="DA135" s="409"/>
      <c r="DB135" s="409"/>
      <c r="DC135" s="409"/>
      <c r="DD135" s="409"/>
      <c r="DE135" s="409"/>
      <c r="DF135" s="409"/>
      <c r="DG135" s="409"/>
      <c r="DJ135" s="81"/>
      <c r="DK135" s="81"/>
      <c r="DL135" s="171"/>
      <c r="DM135" s="81"/>
      <c r="DN135" s="81"/>
      <c r="DO135" s="81"/>
      <c r="DP135" s="171"/>
      <c r="DQ135" s="81"/>
      <c r="DR135" s="81"/>
      <c r="DS135" s="81"/>
      <c r="DT135" s="81"/>
      <c r="DW135" s="81"/>
    </row>
    <row r="136" spans="101:111" ht="12">
      <c r="CW136" s="409"/>
      <c r="CX136" s="409"/>
      <c r="CY136" s="409"/>
      <c r="CZ136" s="409"/>
      <c r="DA136" s="409"/>
      <c r="DB136" s="409"/>
      <c r="DC136" s="409"/>
      <c r="DD136" s="409"/>
      <c r="DE136" s="409"/>
      <c r="DF136" s="409"/>
      <c r="DG136" s="409"/>
    </row>
    <row r="137" spans="101:111" ht="12">
      <c r="CW137" s="409"/>
      <c r="CX137" s="409"/>
      <c r="CY137" s="409"/>
      <c r="CZ137" s="409"/>
      <c r="DA137" s="409"/>
      <c r="DB137" s="409"/>
      <c r="DC137" s="409"/>
      <c r="DD137" s="409"/>
      <c r="DE137" s="409"/>
      <c r="DF137" s="409"/>
      <c r="DG137" s="409"/>
    </row>
  </sheetData>
  <sheetProtection/>
  <mergeCells count="259">
    <mergeCell ref="O13:O14"/>
    <mergeCell ref="M15:M16"/>
    <mergeCell ref="FH29:FH30"/>
    <mergeCell ref="FI29:FI30"/>
    <mergeCell ref="FI21:FI22"/>
    <mergeCell ref="EA59:EE61"/>
    <mergeCell ref="FH33:FH34"/>
    <mergeCell ref="FI33:FI34"/>
    <mergeCell ref="EC56:EE57"/>
    <mergeCell ref="EC53:EE54"/>
    <mergeCell ref="D4:E4"/>
    <mergeCell ref="DD55:DE55"/>
    <mergeCell ref="DD54:DE54"/>
    <mergeCell ref="M21:M22"/>
    <mergeCell ref="N21:N22"/>
    <mergeCell ref="O21:O22"/>
    <mergeCell ref="DC49:DE49"/>
    <mergeCell ref="CH50:CI50"/>
    <mergeCell ref="P4:Q4"/>
    <mergeCell ref="M4:O4"/>
    <mergeCell ref="EC48:ED48"/>
    <mergeCell ref="DC47:DD47"/>
    <mergeCell ref="FJ33:FJ34"/>
    <mergeCell ref="CH33:CJ33"/>
    <mergeCell ref="CH46:CI46"/>
    <mergeCell ref="DD50:DE50"/>
    <mergeCell ref="CH36:CI36"/>
    <mergeCell ref="DC41:DD41"/>
    <mergeCell ref="EC50:ED50"/>
    <mergeCell ref="DC43:DD43"/>
    <mergeCell ref="FJ29:FJ30"/>
    <mergeCell ref="FH31:FH32"/>
    <mergeCell ref="FI31:FI32"/>
    <mergeCell ref="FJ31:FJ32"/>
    <mergeCell ref="FI25:FI26"/>
    <mergeCell ref="FJ25:FJ26"/>
    <mergeCell ref="FH27:FH28"/>
    <mergeCell ref="FI27:FI28"/>
    <mergeCell ref="FJ27:FJ28"/>
    <mergeCell ref="FH25:FH26"/>
    <mergeCell ref="FJ21:FJ22"/>
    <mergeCell ref="FH23:FH24"/>
    <mergeCell ref="FI23:FI24"/>
    <mergeCell ref="FJ23:FJ24"/>
    <mergeCell ref="FH21:FH22"/>
    <mergeCell ref="FI17:FI18"/>
    <mergeCell ref="FJ17:FJ18"/>
    <mergeCell ref="FH19:FH20"/>
    <mergeCell ref="FI19:FI20"/>
    <mergeCell ref="FJ19:FJ20"/>
    <mergeCell ref="FH17:FH18"/>
    <mergeCell ref="N17:N18"/>
    <mergeCell ref="O17:O18"/>
    <mergeCell ref="M19:M20"/>
    <mergeCell ref="N19:N20"/>
    <mergeCell ref="O19:O20"/>
    <mergeCell ref="M17:M18"/>
    <mergeCell ref="FP50:FQ50"/>
    <mergeCell ref="FP49:FQ49"/>
    <mergeCell ref="FP44:FQ44"/>
    <mergeCell ref="FP47:FQ47"/>
    <mergeCell ref="FP46:FQ46"/>
    <mergeCell ref="FR44:FS44"/>
    <mergeCell ref="FT52:FU52"/>
    <mergeCell ref="FP51:FQ51"/>
    <mergeCell ref="FR51:FS51"/>
    <mergeCell ref="FT51:FU51"/>
    <mergeCell ref="FP52:FQ52"/>
    <mergeCell ref="FR52:FS52"/>
    <mergeCell ref="FT46:FU46"/>
    <mergeCell ref="FO45:FU45"/>
    <mergeCell ref="FP48:FQ48"/>
    <mergeCell ref="FR46:FS46"/>
    <mergeCell ref="FO4:FV4"/>
    <mergeCell ref="FT50:FU50"/>
    <mergeCell ref="FR47:FS47"/>
    <mergeCell ref="FR48:FS48"/>
    <mergeCell ref="FR49:FS49"/>
    <mergeCell ref="FR50:FS50"/>
    <mergeCell ref="FT48:FU48"/>
    <mergeCell ref="FT47:FU47"/>
    <mergeCell ref="FT49:FU49"/>
    <mergeCell ref="FT44:FU44"/>
    <mergeCell ref="FA4:FB4"/>
    <mergeCell ref="FI10:FI11"/>
    <mergeCell ref="FJ10:FJ11"/>
    <mergeCell ref="FJ4:FK4"/>
    <mergeCell ref="FA10:FA11"/>
    <mergeCell ref="FI13:FI14"/>
    <mergeCell ref="FJ13:FJ14"/>
    <mergeCell ref="FH15:FH16"/>
    <mergeCell ref="FI15:FI16"/>
    <mergeCell ref="FJ15:FJ16"/>
    <mergeCell ref="FH13:FH14"/>
    <mergeCell ref="EY10:EY11"/>
    <mergeCell ref="EZ10:EZ11"/>
    <mergeCell ref="FH10:FH11"/>
    <mergeCell ref="DM4:DQ4"/>
    <mergeCell ref="EW3:EZ3"/>
    <mergeCell ref="ER10:ER11"/>
    <mergeCell ref="EV10:EV11"/>
    <mergeCell ref="EW10:EW11"/>
    <mergeCell ref="EQ10:EQ11"/>
    <mergeCell ref="EN10:EN11"/>
    <mergeCell ref="BP3:BQ3"/>
    <mergeCell ref="EX10:EX11"/>
    <mergeCell ref="CX3:CY3"/>
    <mergeCell ref="CX4:CY4"/>
    <mergeCell ref="CJ4:CK4"/>
    <mergeCell ref="CC3:CD3"/>
    <mergeCell ref="CE3:CI3"/>
    <mergeCell ref="EW4:EZ4"/>
    <mergeCell ref="BW3:BX3"/>
    <mergeCell ref="BR3:BV3"/>
    <mergeCell ref="CH8:CH9"/>
    <mergeCell ref="EM10:EM11"/>
    <mergeCell ref="AI8:AI9"/>
    <mergeCell ref="AJ8:AJ9"/>
    <mergeCell ref="CI8:CI9"/>
    <mergeCell ref="CJ8:CJ9"/>
    <mergeCell ref="DC10:DC11"/>
    <mergeCell ref="K3:L3"/>
    <mergeCell ref="M3:O3"/>
    <mergeCell ref="V3:W3"/>
    <mergeCell ref="P3:Q3"/>
    <mergeCell ref="AA3:AB3"/>
    <mergeCell ref="X3:Z3"/>
    <mergeCell ref="BI3:BJ3"/>
    <mergeCell ref="AK3:AM3"/>
    <mergeCell ref="AY3:AZ3"/>
    <mergeCell ref="AR3:AS3"/>
    <mergeCell ref="AT3:AX3"/>
    <mergeCell ref="AG3:AI3"/>
    <mergeCell ref="FV6:FW6"/>
    <mergeCell ref="FO5:FV5"/>
    <mergeCell ref="CE4:CI4"/>
    <mergeCell ref="EE3:EF3"/>
    <mergeCell ref="DX3:DY3"/>
    <mergeCell ref="ER3:ES3"/>
    <mergeCell ref="EM3:EQ3"/>
    <mergeCell ref="FA3:FB3"/>
    <mergeCell ref="FO3:FV3"/>
    <mergeCell ref="CJ3:CK3"/>
    <mergeCell ref="FG3:FH3"/>
    <mergeCell ref="FJ3:FK3"/>
    <mergeCell ref="DR3:DS3"/>
    <mergeCell ref="DK3:DL3"/>
    <mergeCell ref="EU3:EV3"/>
    <mergeCell ref="DZ3:ED3"/>
    <mergeCell ref="EK3:EL3"/>
    <mergeCell ref="DM3:DQ3"/>
    <mergeCell ref="CZ3:DD3"/>
    <mergeCell ref="DE3:DF3"/>
    <mergeCell ref="DE4:DF4"/>
    <mergeCell ref="CM4:CN4"/>
    <mergeCell ref="CO4:CR4"/>
    <mergeCell ref="CO3:CR3"/>
    <mergeCell ref="CS3:CT3"/>
    <mergeCell ref="CM3:CN3"/>
    <mergeCell ref="CZ4:DD4"/>
    <mergeCell ref="CS4:CT4"/>
    <mergeCell ref="K4:L4"/>
    <mergeCell ref="AL8:AL9"/>
    <mergeCell ref="EO10:EO11"/>
    <mergeCell ref="EP10:EP11"/>
    <mergeCell ref="DR4:DS4"/>
    <mergeCell ref="EL10:EL11"/>
    <mergeCell ref="DK4:DL4"/>
    <mergeCell ref="EM4:EQ4"/>
    <mergeCell ref="DZ4:ED4"/>
    <mergeCell ref="EE4:EF4"/>
    <mergeCell ref="CH34:CI34"/>
    <mergeCell ref="ER4:ES4"/>
    <mergeCell ref="DX4:DY4"/>
    <mergeCell ref="Y12:Y13"/>
    <mergeCell ref="Z12:Z13"/>
    <mergeCell ref="AK4:AM4"/>
    <mergeCell ref="AG5:AI5"/>
    <mergeCell ref="DA10:DA11"/>
    <mergeCell ref="CP9:CP10"/>
    <mergeCell ref="CQ9:CQ10"/>
    <mergeCell ref="CD33:CE33"/>
    <mergeCell ref="BJ35:BM35"/>
    <mergeCell ref="CD58:CE58"/>
    <mergeCell ref="BJ42:BM44"/>
    <mergeCell ref="M30:N30"/>
    <mergeCell ref="M28:N28"/>
    <mergeCell ref="AW53:AY53"/>
    <mergeCell ref="X12:X13"/>
    <mergeCell ref="M10:M11"/>
    <mergeCell ref="N10:N11"/>
    <mergeCell ref="O10:O11"/>
    <mergeCell ref="M25:N25"/>
    <mergeCell ref="N15:N16"/>
    <mergeCell ref="O15:O16"/>
    <mergeCell ref="M13:M14"/>
    <mergeCell ref="W23:AA24"/>
    <mergeCell ref="N13:N14"/>
    <mergeCell ref="DP62:DS62"/>
    <mergeCell ref="DP53:DR53"/>
    <mergeCell ref="DD53:DE53"/>
    <mergeCell ref="DD51:DE51"/>
    <mergeCell ref="DD52:DE52"/>
    <mergeCell ref="DP63:DS63"/>
    <mergeCell ref="AW59:AZ59"/>
    <mergeCell ref="AW60:AZ60"/>
    <mergeCell ref="AW61:AZ61"/>
    <mergeCell ref="CH49:CI49"/>
    <mergeCell ref="CD36:CF36"/>
    <mergeCell ref="DC40:DE40"/>
    <mergeCell ref="DC58:DE60"/>
    <mergeCell ref="DK5:DL5"/>
    <mergeCell ref="DM5:DQ5"/>
    <mergeCell ref="DR5:DS5"/>
    <mergeCell ref="DD10:DD11"/>
    <mergeCell ref="DE10:DE11"/>
    <mergeCell ref="CY60:CZ60"/>
    <mergeCell ref="CY35:CZ35"/>
    <mergeCell ref="DC42:DD42"/>
    <mergeCell ref="CY38:DA38"/>
    <mergeCell ref="DC46:DD46"/>
    <mergeCell ref="DC35:DE35"/>
    <mergeCell ref="CH39:CJ39"/>
    <mergeCell ref="CH47:CI47"/>
    <mergeCell ref="CH41:CI41"/>
    <mergeCell ref="CH45:CI45"/>
    <mergeCell ref="CH40:CI40"/>
    <mergeCell ref="CH35:CI35"/>
    <mergeCell ref="CH44:CJ44"/>
    <mergeCell ref="BW4:BX4"/>
    <mergeCell ref="CC4:CD4"/>
    <mergeCell ref="AR4:AS4"/>
    <mergeCell ref="AT4:AX4"/>
    <mergeCell ref="BR4:BV4"/>
    <mergeCell ref="CZ10:CZ11"/>
    <mergeCell ref="CD8:CD9"/>
    <mergeCell ref="CE8:CE9"/>
    <mergeCell ref="CY10:CY11"/>
    <mergeCell ref="CF8:CF9"/>
    <mergeCell ref="AW64:AZ64"/>
    <mergeCell ref="AH59:AI59"/>
    <mergeCell ref="AY4:AZ4"/>
    <mergeCell ref="AH57:AI57"/>
    <mergeCell ref="AH53:AI53"/>
    <mergeCell ref="AW62:AZ63"/>
    <mergeCell ref="AH40:AI40"/>
    <mergeCell ref="AH44:AI44"/>
    <mergeCell ref="AH51:AI51"/>
    <mergeCell ref="AH49:AI49"/>
    <mergeCell ref="G4:G5"/>
    <mergeCell ref="BC3:BE3"/>
    <mergeCell ref="BC4:BE4"/>
    <mergeCell ref="BC42:BE44"/>
    <mergeCell ref="X4:Z4"/>
    <mergeCell ref="M29:N29"/>
    <mergeCell ref="M31:N31"/>
    <mergeCell ref="AA4:AB4"/>
    <mergeCell ref="AH42:AI42"/>
    <mergeCell ref="AK8:AK9"/>
  </mergeCells>
  <printOptions horizontalCentered="1" verticalCentered="1"/>
  <pageMargins left="0.7086614173228347" right="0.31496062992125984" top="0.2362204724409449" bottom="0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61"/>
  <sheetViews>
    <sheetView zoomScalePageLayoutView="0" workbookViewId="0" topLeftCell="D1">
      <selection activeCell="B11" sqref="B11:C41"/>
    </sheetView>
  </sheetViews>
  <sheetFormatPr defaultColWidth="9.140625" defaultRowHeight="12.75"/>
  <cols>
    <col min="1" max="1" width="6.00390625" style="587" hidden="1" customWidth="1"/>
    <col min="2" max="3" width="0" style="587" hidden="1" customWidth="1"/>
    <col min="4" max="4" width="4.00390625" style="587" customWidth="1"/>
    <col min="5" max="5" width="3.00390625" style="587" customWidth="1"/>
    <col min="6" max="6" width="8.00390625" style="587" customWidth="1"/>
    <col min="7" max="7" width="39.140625" style="587" customWidth="1"/>
    <col min="8" max="8" width="5.28125" style="587" customWidth="1"/>
    <col min="9" max="9" width="8.140625" style="587" customWidth="1"/>
    <col min="10" max="10" width="4.7109375" style="587" customWidth="1"/>
    <col min="11" max="11" width="7.8515625" style="587" customWidth="1"/>
    <col min="12" max="12" width="5.57421875" style="587" customWidth="1"/>
    <col min="13" max="13" width="8.00390625" style="587" customWidth="1"/>
    <col min="14" max="14" width="2.7109375" style="587" customWidth="1"/>
    <col min="15" max="16384" width="9.140625" style="587" customWidth="1"/>
  </cols>
  <sheetData>
    <row r="2" spans="5:14" ht="12.75">
      <c r="E2" s="591"/>
      <c r="F2" s="592"/>
      <c r="G2" s="592"/>
      <c r="H2" s="592"/>
      <c r="I2" s="592"/>
      <c r="J2" s="592"/>
      <c r="K2" s="592"/>
      <c r="L2" s="592"/>
      <c r="M2" s="592"/>
      <c r="N2" s="593"/>
    </row>
    <row r="3" spans="5:14" ht="15">
      <c r="E3" s="1436" t="s">
        <v>274</v>
      </c>
      <c r="F3" s="1437"/>
      <c r="G3" s="1440" t="s">
        <v>581</v>
      </c>
      <c r="H3" s="1441"/>
      <c r="I3" s="1441"/>
      <c r="J3" s="1441"/>
      <c r="K3" s="1436" t="s">
        <v>1080</v>
      </c>
      <c r="L3" s="1442"/>
      <c r="M3" s="1442"/>
      <c r="N3" s="1437"/>
    </row>
    <row r="4" spans="5:14" ht="15">
      <c r="E4" s="1438"/>
      <c r="F4" s="1439"/>
      <c r="G4" s="1426" t="s">
        <v>582</v>
      </c>
      <c r="H4" s="1427"/>
      <c r="I4" s="1427"/>
      <c r="J4" s="1427"/>
      <c r="K4" s="1443">
        <f>VLOOKUP("TV SERV ESCOLA 1 01 40H",RHE,5,FALSE)</f>
        <v>41579</v>
      </c>
      <c r="L4" s="1444">
        <f>VLOOKUP("TV SERV ESCOLA 1 01 40H",RHE,10,FALSE)</f>
        <v>617.07</v>
      </c>
      <c r="M4" s="1444">
        <f>VLOOKUP("TV SERV ESCOLA 1 01 40H",RHE,10,FALSE)</f>
        <v>617.07</v>
      </c>
      <c r="N4" s="1445">
        <f>VLOOKUP("TV SERV ESCOLA 1 01 40H",RHE,10,FALSE)</f>
        <v>617.07</v>
      </c>
    </row>
    <row r="5" spans="5:14" ht="12.75">
      <c r="E5" s="594"/>
      <c r="F5" s="595"/>
      <c r="G5" s="596"/>
      <c r="H5" s="596"/>
      <c r="I5" s="596"/>
      <c r="J5" s="596"/>
      <c r="K5" s="596"/>
      <c r="L5" s="596"/>
      <c r="M5" s="596"/>
      <c r="N5" s="597"/>
    </row>
    <row r="6" spans="5:14" ht="12.75">
      <c r="E6" s="598"/>
      <c r="F6" s="599"/>
      <c r="G6" s="599"/>
      <c r="H6" s="599"/>
      <c r="I6" s="599"/>
      <c r="J6" s="599"/>
      <c r="K6" s="599"/>
      <c r="L6" s="599"/>
      <c r="M6" s="599"/>
      <c r="N6" s="600"/>
    </row>
    <row r="7" spans="5:14" ht="12.75">
      <c r="E7" s="601"/>
      <c r="F7" s="589"/>
      <c r="G7" s="589"/>
      <c r="H7" s="589"/>
      <c r="I7" s="589"/>
      <c r="J7" s="589"/>
      <c r="K7" s="589"/>
      <c r="L7" s="589"/>
      <c r="M7" s="589"/>
      <c r="N7" s="602"/>
    </row>
    <row r="8" spans="5:14" ht="12.75">
      <c r="E8" s="601"/>
      <c r="F8" s="589"/>
      <c r="G8" s="589"/>
      <c r="H8" s="589"/>
      <c r="I8" s="589"/>
      <c r="J8" s="589"/>
      <c r="K8" s="603"/>
      <c r="L8" s="590"/>
      <c r="M8" s="590"/>
      <c r="N8" s="602"/>
    </row>
    <row r="9" spans="5:14" ht="12.75">
      <c r="E9" s="601"/>
      <c r="F9" s="1418" t="s">
        <v>721</v>
      </c>
      <c r="G9" s="1418" t="s">
        <v>773</v>
      </c>
      <c r="H9" s="1418" t="s">
        <v>583</v>
      </c>
      <c r="I9" s="1407" t="s">
        <v>1408</v>
      </c>
      <c r="J9" s="604"/>
      <c r="K9" s="1428" t="s">
        <v>898</v>
      </c>
      <c r="L9" s="1429"/>
      <c r="M9" s="1430"/>
      <c r="N9" s="602"/>
    </row>
    <row r="10" spans="5:14" ht="13.5" thickBot="1">
      <c r="E10" s="601"/>
      <c r="F10" s="1419"/>
      <c r="G10" s="1419"/>
      <c r="H10" s="1419"/>
      <c r="I10" s="1408"/>
      <c r="J10" s="604"/>
      <c r="K10" s="1431"/>
      <c r="L10" s="1432"/>
      <c r="M10" s="1433"/>
      <c r="N10" s="602"/>
    </row>
    <row r="11" spans="2:14" ht="12.75">
      <c r="B11" s="605" t="s">
        <v>584</v>
      </c>
      <c r="C11" s="606">
        <f>TAB38_DATA_VAL</f>
        <v>41579</v>
      </c>
      <c r="E11" s="601"/>
      <c r="F11" s="589"/>
      <c r="G11" s="589"/>
      <c r="H11" s="589"/>
      <c r="I11" s="589"/>
      <c r="J11" s="589"/>
      <c r="K11" s="607"/>
      <c r="L11" s="607"/>
      <c r="M11" s="589"/>
      <c r="N11" s="602"/>
    </row>
    <row r="12" spans="2:14" ht="12.75">
      <c r="B12" s="608" t="s">
        <v>281</v>
      </c>
      <c r="C12" s="609">
        <f aca="true" t="shared" si="0" ref="C12:C41">I12</f>
        <v>617.07</v>
      </c>
      <c r="E12" s="601"/>
      <c r="F12" s="610" t="s">
        <v>1409</v>
      </c>
      <c r="G12" s="611"/>
      <c r="H12" s="612" t="s">
        <v>917</v>
      </c>
      <c r="I12" s="928">
        <f>VLOOKUP("TV SERV ESCOLA 1 01 40H",RHE,10,FALSE)</f>
        <v>617.07</v>
      </c>
      <c r="J12" s="588"/>
      <c r="K12" s="1451" t="s">
        <v>899</v>
      </c>
      <c r="L12" s="613">
        <v>20</v>
      </c>
      <c r="M12" s="933">
        <f>ROUNDDOWN(M13/2,2)</f>
        <v>44.4</v>
      </c>
      <c r="N12" s="602"/>
    </row>
    <row r="13" spans="2:14" ht="12.75">
      <c r="B13" s="614" t="s">
        <v>285</v>
      </c>
      <c r="C13" s="609">
        <f t="shared" si="0"/>
        <v>654.09</v>
      </c>
      <c r="E13" s="601"/>
      <c r="F13" s="615" t="s">
        <v>1410</v>
      </c>
      <c r="G13" s="616" t="s">
        <v>585</v>
      </c>
      <c r="H13" s="617" t="s">
        <v>1346</v>
      </c>
      <c r="I13" s="929">
        <f>VLOOKUP("TV SERV ESCOLA 1 04 40H",RHE,10,FALSE)</f>
        <v>654.09</v>
      </c>
      <c r="J13" s="588"/>
      <c r="K13" s="1435"/>
      <c r="L13" s="618">
        <v>40</v>
      </c>
      <c r="M13" s="934">
        <f>ROUNDDOWN((PISONOVO_40H)*0.2,2)</f>
        <v>88.81</v>
      </c>
      <c r="N13" s="602"/>
    </row>
    <row r="14" spans="2:14" ht="12.75">
      <c r="B14" s="614" t="s">
        <v>289</v>
      </c>
      <c r="C14" s="609">
        <f t="shared" si="0"/>
        <v>693.34</v>
      </c>
      <c r="E14" s="601"/>
      <c r="F14" s="615" t="s">
        <v>1411</v>
      </c>
      <c r="G14" s="616" t="s">
        <v>586</v>
      </c>
      <c r="H14" s="617" t="s">
        <v>1347</v>
      </c>
      <c r="I14" s="929">
        <f>VLOOKUP("TV SERV ESCOLA 1 07 40H",RHE,10,FALSE)</f>
        <v>693.34</v>
      </c>
      <c r="J14" s="588"/>
      <c r="K14" s="1434" t="s">
        <v>900</v>
      </c>
      <c r="L14" s="619">
        <v>20</v>
      </c>
      <c r="M14" s="935">
        <f>ROUNDDOWN(M15/2,2)</f>
        <v>88.81</v>
      </c>
      <c r="N14" s="602"/>
    </row>
    <row r="15" spans="2:14" ht="12.75">
      <c r="B15" s="614" t="s">
        <v>60</v>
      </c>
      <c r="C15" s="609">
        <f t="shared" si="0"/>
        <v>734.93</v>
      </c>
      <c r="E15" s="601"/>
      <c r="F15" s="615" t="s">
        <v>1412</v>
      </c>
      <c r="G15" s="590" t="s">
        <v>414</v>
      </c>
      <c r="H15" s="617" t="s">
        <v>1348</v>
      </c>
      <c r="I15" s="929">
        <f>VLOOKUP("TV SERV ESCOLA 1 10 40H",RHE,10,FALSE)</f>
        <v>734.93</v>
      </c>
      <c r="J15" s="588"/>
      <c r="K15" s="1435"/>
      <c r="L15" s="618">
        <v>40</v>
      </c>
      <c r="M15" s="934">
        <f>ROUNDDOWN((PISONOVO_40H)*0.4,2)</f>
        <v>177.62</v>
      </c>
      <c r="N15" s="602"/>
    </row>
    <row r="16" spans="2:14" ht="12.75">
      <c r="B16" s="614" t="s">
        <v>63</v>
      </c>
      <c r="C16" s="609">
        <f t="shared" si="0"/>
        <v>778.99</v>
      </c>
      <c r="E16" s="601"/>
      <c r="F16" s="615" t="s">
        <v>1413</v>
      </c>
      <c r="G16" s="616"/>
      <c r="H16" s="617" t="s">
        <v>1349</v>
      </c>
      <c r="I16" s="929">
        <f>VLOOKUP("TV SERV ESCOLA 1 13 40H",RHE,10,FALSE)</f>
        <v>778.99</v>
      </c>
      <c r="J16" s="588"/>
      <c r="K16" s="1434" t="s">
        <v>901</v>
      </c>
      <c r="L16" s="619">
        <v>20</v>
      </c>
      <c r="M16" s="935">
        <f>ROUNDDOWN(M17/2,2)</f>
        <v>133.21</v>
      </c>
      <c r="N16" s="602"/>
    </row>
    <row r="17" spans="2:14" ht="12.75">
      <c r="B17" s="614" t="s">
        <v>863</v>
      </c>
      <c r="C17" s="609">
        <f t="shared" si="0"/>
        <v>826.87</v>
      </c>
      <c r="E17" s="601"/>
      <c r="F17" s="620" t="s">
        <v>1414</v>
      </c>
      <c r="G17" s="621"/>
      <c r="H17" s="622" t="s">
        <v>587</v>
      </c>
      <c r="I17" s="930">
        <f>VLOOKUP("TV SERV ESCOLA 1 16 40H",RHE,10,FALSE)</f>
        <v>826.87</v>
      </c>
      <c r="J17" s="588"/>
      <c r="K17" s="1435"/>
      <c r="L17" s="618">
        <v>40</v>
      </c>
      <c r="M17" s="934">
        <f>ROUNDDOWN((PISONOVO_40H)*0.6,2)</f>
        <v>266.43</v>
      </c>
      <c r="N17" s="602"/>
    </row>
    <row r="18" spans="2:14" ht="12.75">
      <c r="B18" s="614" t="s">
        <v>865</v>
      </c>
      <c r="C18" s="609">
        <f t="shared" si="0"/>
        <v>789.28</v>
      </c>
      <c r="E18" s="601"/>
      <c r="F18" s="623" t="s">
        <v>1415</v>
      </c>
      <c r="G18" s="624"/>
      <c r="H18" s="625" t="s">
        <v>917</v>
      </c>
      <c r="I18" s="931">
        <f>VLOOKUP("TV SERV ESCOLA 2 01 40H",RHE,10,FALSE)</f>
        <v>789.28</v>
      </c>
      <c r="J18" s="588"/>
      <c r="K18" s="1434" t="s">
        <v>902</v>
      </c>
      <c r="L18" s="619">
        <v>20</v>
      </c>
      <c r="M18" s="935">
        <f>ROUNDDOWN(M19/2,2)</f>
        <v>177.62</v>
      </c>
      <c r="N18" s="602"/>
    </row>
    <row r="19" spans="2:14" ht="12.75">
      <c r="B19" s="614" t="s">
        <v>867</v>
      </c>
      <c r="C19" s="609">
        <f t="shared" si="0"/>
        <v>836.63</v>
      </c>
      <c r="E19" s="601"/>
      <c r="F19" s="615" t="s">
        <v>1416</v>
      </c>
      <c r="G19" s="616" t="s">
        <v>588</v>
      </c>
      <c r="H19" s="617" t="s">
        <v>1346</v>
      </c>
      <c r="I19" s="929">
        <f>VLOOKUP("TV SERV ESCOLA 2 04 40H",RHE,10,FALSE)</f>
        <v>836.63</v>
      </c>
      <c r="J19" s="588"/>
      <c r="K19" s="1435"/>
      <c r="L19" s="618">
        <v>40</v>
      </c>
      <c r="M19" s="934">
        <f>ROUNDDOWN((PISONOVO_40H)*0.8,2)</f>
        <v>355.24</v>
      </c>
      <c r="N19" s="602"/>
    </row>
    <row r="20" spans="2:14" ht="12.75">
      <c r="B20" s="614" t="s">
        <v>868</v>
      </c>
      <c r="C20" s="609">
        <f t="shared" si="0"/>
        <v>886.83</v>
      </c>
      <c r="E20" s="601"/>
      <c r="F20" s="615" t="s">
        <v>1417</v>
      </c>
      <c r="G20" s="616" t="s">
        <v>586</v>
      </c>
      <c r="H20" s="617" t="s">
        <v>1347</v>
      </c>
      <c r="I20" s="929">
        <f>VLOOKUP("TV SERV ESCOLA 2 07 40H",RHE,10,FALSE)</f>
        <v>886.83</v>
      </c>
      <c r="J20" s="588"/>
      <c r="K20" s="1434" t="s">
        <v>903</v>
      </c>
      <c r="L20" s="619">
        <v>20</v>
      </c>
      <c r="M20" s="935">
        <f>ROUNDDOWN(M21/2,2)</f>
        <v>222.03</v>
      </c>
      <c r="N20" s="602"/>
    </row>
    <row r="21" spans="2:14" ht="12.75">
      <c r="B21" s="614" t="s">
        <v>869</v>
      </c>
      <c r="C21" s="609">
        <f t="shared" si="0"/>
        <v>940.03</v>
      </c>
      <c r="E21" s="601"/>
      <c r="F21" s="615" t="s">
        <v>1292</v>
      </c>
      <c r="G21" s="590" t="s">
        <v>414</v>
      </c>
      <c r="H21" s="617" t="s">
        <v>1348</v>
      </c>
      <c r="I21" s="929">
        <f>VLOOKUP("TV SERV ESCOLA 2 10 40H",RHE,10,FALSE)</f>
        <v>940.03</v>
      </c>
      <c r="J21" s="588"/>
      <c r="K21" s="1435"/>
      <c r="L21" s="618">
        <v>40</v>
      </c>
      <c r="M21" s="814">
        <f>PISONOVO_40H</f>
        <v>444.06</v>
      </c>
      <c r="N21" s="602"/>
    </row>
    <row r="22" spans="2:14" ht="12.75">
      <c r="B22" s="614" t="s">
        <v>708</v>
      </c>
      <c r="C22" s="609">
        <f t="shared" si="0"/>
        <v>996.38</v>
      </c>
      <c r="E22" s="601"/>
      <c r="F22" s="615" t="s">
        <v>1293</v>
      </c>
      <c r="G22" s="616"/>
      <c r="H22" s="617" t="s">
        <v>1349</v>
      </c>
      <c r="I22" s="929">
        <f>VLOOKUP("TV SERV ESCOLA 2 13 40H",RHE,10,FALSE)</f>
        <v>996.38</v>
      </c>
      <c r="J22" s="588"/>
      <c r="K22" s="1452" t="s">
        <v>589</v>
      </c>
      <c r="L22" s="1453"/>
      <c r="M22" s="936">
        <f>ROUNDDOWN((PISONOVO_40H/2)*0.1,2)</f>
        <v>22.2</v>
      </c>
      <c r="N22" s="602"/>
    </row>
    <row r="23" spans="2:14" ht="12.75">
      <c r="B23" s="614" t="s">
        <v>709</v>
      </c>
      <c r="C23" s="609">
        <f t="shared" si="0"/>
        <v>1057.63</v>
      </c>
      <c r="E23" s="601"/>
      <c r="F23" s="620" t="s">
        <v>1294</v>
      </c>
      <c r="G23" s="621"/>
      <c r="H23" s="622" t="s">
        <v>587</v>
      </c>
      <c r="I23" s="930">
        <f>VLOOKUP("TV SERV ESCOLA 2 16 40H",RHE,10,FALSE)</f>
        <v>1057.63</v>
      </c>
      <c r="J23" s="588"/>
      <c r="K23" s="626"/>
      <c r="L23" s="626"/>
      <c r="M23" s="626"/>
      <c r="N23" s="602"/>
    </row>
    <row r="24" spans="2:14" ht="12.75">
      <c r="B24" s="614" t="s">
        <v>84</v>
      </c>
      <c r="C24" s="609">
        <f t="shared" si="0"/>
        <v>512.52</v>
      </c>
      <c r="E24" s="601"/>
      <c r="F24" s="623" t="s">
        <v>1295</v>
      </c>
      <c r="H24" s="625" t="s">
        <v>917</v>
      </c>
      <c r="I24" s="931">
        <f>VLOOKUP("TV SERV ESCOLA 01 40H",RHE,10,FALSE)</f>
        <v>512.52</v>
      </c>
      <c r="J24" s="588"/>
      <c r="K24" s="627"/>
      <c r="L24" s="589"/>
      <c r="M24" s="589"/>
      <c r="N24" s="602"/>
    </row>
    <row r="25" spans="2:17" ht="12.75">
      <c r="B25" s="614" t="s">
        <v>85</v>
      </c>
      <c r="C25" s="609">
        <f t="shared" si="0"/>
        <v>543.27</v>
      </c>
      <c r="E25" s="601"/>
      <c r="F25" s="615" t="s">
        <v>1296</v>
      </c>
      <c r="G25" s="628" t="s">
        <v>590</v>
      </c>
      <c r="H25" s="617" t="s">
        <v>1346</v>
      </c>
      <c r="I25" s="929">
        <f>VLOOKUP("TV SERV ESCOLA 04 40H",RHE,10,FALSE)</f>
        <v>543.27</v>
      </c>
      <c r="J25" s="588"/>
      <c r="K25" s="627"/>
      <c r="L25" s="589"/>
      <c r="M25" s="589"/>
      <c r="N25" s="602"/>
      <c r="Q25" s="629"/>
    </row>
    <row r="26" spans="2:14" ht="12.75">
      <c r="B26" s="614" t="s">
        <v>715</v>
      </c>
      <c r="C26" s="609">
        <f t="shared" si="0"/>
        <v>575.86</v>
      </c>
      <c r="E26" s="601"/>
      <c r="F26" s="615" t="s">
        <v>1297</v>
      </c>
      <c r="G26" s="616" t="s">
        <v>591</v>
      </c>
      <c r="H26" s="617" t="s">
        <v>1347</v>
      </c>
      <c r="I26" s="929">
        <f>VLOOKUP("TV SERV ESCOLA 07 40H",RHE,10,FALSE)</f>
        <v>575.86</v>
      </c>
      <c r="J26" s="588"/>
      <c r="K26" s="627"/>
      <c r="L26" s="589"/>
      <c r="M26" s="589"/>
      <c r="N26" s="602"/>
    </row>
    <row r="27" spans="2:14" ht="12.75">
      <c r="B27" s="614" t="s">
        <v>716</v>
      </c>
      <c r="C27" s="609">
        <f t="shared" si="0"/>
        <v>610.41</v>
      </c>
      <c r="E27" s="601"/>
      <c r="F27" s="615" t="s">
        <v>1298</v>
      </c>
      <c r="G27" s="590" t="s">
        <v>414</v>
      </c>
      <c r="H27" s="617" t="s">
        <v>1348</v>
      </c>
      <c r="I27" s="929">
        <f>VLOOKUP("TV SERV ESCOLA 10 40H",RHE,10,FALSE)</f>
        <v>610.41</v>
      </c>
      <c r="J27" s="588"/>
      <c r="K27" s="627"/>
      <c r="L27" s="589"/>
      <c r="M27" s="589"/>
      <c r="N27" s="602"/>
    </row>
    <row r="28" spans="2:14" ht="12.75">
      <c r="B28" s="614" t="s">
        <v>717</v>
      </c>
      <c r="C28" s="609">
        <f t="shared" si="0"/>
        <v>647</v>
      </c>
      <c r="E28" s="601"/>
      <c r="F28" s="615" t="s">
        <v>1299</v>
      </c>
      <c r="G28" s="616"/>
      <c r="H28" s="617" t="s">
        <v>1349</v>
      </c>
      <c r="I28" s="929">
        <f>VLOOKUP("TV SERV ESCOLA 13 40H",RHE,10,FALSE)</f>
        <v>647</v>
      </c>
      <c r="J28" s="588"/>
      <c r="K28" s="627"/>
      <c r="L28" s="589"/>
      <c r="M28" s="589"/>
      <c r="N28" s="602"/>
    </row>
    <row r="29" spans="2:14" ht="12.75">
      <c r="B29" s="614" t="s">
        <v>718</v>
      </c>
      <c r="C29" s="609">
        <f t="shared" si="0"/>
        <v>686.77</v>
      </c>
      <c r="E29" s="601"/>
      <c r="F29" s="620" t="s">
        <v>1300</v>
      </c>
      <c r="G29" s="630"/>
      <c r="H29" s="622" t="s">
        <v>587</v>
      </c>
      <c r="I29" s="930">
        <f>VLOOKUP("TV SERV ESCOLA 16 40H",RHE,10,FALSE)</f>
        <v>686.77</v>
      </c>
      <c r="J29" s="588"/>
      <c r="K29" s="627"/>
      <c r="L29" s="589"/>
      <c r="M29" s="589"/>
      <c r="N29" s="602"/>
    </row>
    <row r="30" spans="2:14" ht="12.75">
      <c r="B30" s="614" t="s">
        <v>719</v>
      </c>
      <c r="C30" s="609">
        <f t="shared" si="0"/>
        <v>922.53</v>
      </c>
      <c r="E30" s="601"/>
      <c r="F30" s="623" t="s">
        <v>1301</v>
      </c>
      <c r="G30" s="624"/>
      <c r="H30" s="625" t="s">
        <v>917</v>
      </c>
      <c r="I30" s="931">
        <f>VLOOKUP("TV SERV ESCOLA 02 40H",RHE,10,FALSE)</f>
        <v>922.53</v>
      </c>
      <c r="J30" s="588"/>
      <c r="K30" s="631"/>
      <c r="L30" s="589"/>
      <c r="M30" s="589"/>
      <c r="N30" s="602"/>
    </row>
    <row r="31" spans="2:14" ht="12.75">
      <c r="B31" s="614" t="s">
        <v>720</v>
      </c>
      <c r="C31" s="609">
        <f t="shared" si="0"/>
        <v>977.88</v>
      </c>
      <c r="E31" s="601"/>
      <c r="F31" s="615" t="s">
        <v>1302</v>
      </c>
      <c r="G31" s="616" t="s">
        <v>593</v>
      </c>
      <c r="H31" s="617" t="s">
        <v>1346</v>
      </c>
      <c r="I31" s="929">
        <f>VLOOKUP("TV SERV ESCOLA 05 40H",RHE,10,FALSE)</f>
        <v>977.88</v>
      </c>
      <c r="J31" s="588"/>
      <c r="K31" s="631"/>
      <c r="L31" s="589"/>
      <c r="M31" s="589"/>
      <c r="N31" s="602"/>
    </row>
    <row r="32" spans="2:14" ht="12.75">
      <c r="B32" s="614" t="s">
        <v>870</v>
      </c>
      <c r="C32" s="609">
        <f t="shared" si="0"/>
        <v>1036.56</v>
      </c>
      <c r="E32" s="601"/>
      <c r="F32" s="615" t="s">
        <v>1303</v>
      </c>
      <c r="G32" s="616" t="s">
        <v>594</v>
      </c>
      <c r="H32" s="617" t="s">
        <v>1347</v>
      </c>
      <c r="I32" s="929">
        <f>VLOOKUP("TV SERV ESCOLA 08 40H",RHE,10,FALSE)</f>
        <v>1036.56</v>
      </c>
      <c r="J32" s="588"/>
      <c r="K32" s="631"/>
      <c r="L32" s="589"/>
      <c r="M32" s="589"/>
      <c r="N32" s="602"/>
    </row>
    <row r="33" spans="2:14" ht="12.75">
      <c r="B33" s="614" t="s">
        <v>871</v>
      </c>
      <c r="C33" s="609">
        <f t="shared" si="0"/>
        <v>1098.74</v>
      </c>
      <c r="E33" s="601"/>
      <c r="F33" s="615" t="s">
        <v>1304</v>
      </c>
      <c r="G33" s="590" t="s">
        <v>415</v>
      </c>
      <c r="H33" s="617" t="s">
        <v>1348</v>
      </c>
      <c r="I33" s="929">
        <f>VLOOKUP("TV SERV ESCOLA 11 40H",RHE,10,FALSE)</f>
        <v>1098.74</v>
      </c>
      <c r="J33" s="588"/>
      <c r="K33" s="631"/>
      <c r="L33" s="589"/>
      <c r="M33" s="589"/>
      <c r="N33" s="602"/>
    </row>
    <row r="34" spans="2:14" ht="12.75">
      <c r="B34" s="614" t="s">
        <v>879</v>
      </c>
      <c r="C34" s="609">
        <f t="shared" si="0"/>
        <v>1164.6</v>
      </c>
      <c r="E34" s="601"/>
      <c r="F34" s="615" t="s">
        <v>1305</v>
      </c>
      <c r="G34" s="616"/>
      <c r="H34" s="617" t="s">
        <v>1349</v>
      </c>
      <c r="I34" s="929">
        <f>VLOOKUP("TV SERV ESCOLA 14 40H",RHE,10,FALSE)</f>
        <v>1164.6</v>
      </c>
      <c r="J34" s="588"/>
      <c r="K34" s="631"/>
      <c r="L34" s="589"/>
      <c r="M34" s="589"/>
      <c r="N34" s="602"/>
    </row>
    <row r="35" spans="2:14" ht="12.75">
      <c r="B35" s="614" t="s">
        <v>880</v>
      </c>
      <c r="C35" s="609">
        <f t="shared" si="0"/>
        <v>1236.19</v>
      </c>
      <c r="E35" s="601"/>
      <c r="F35" s="620" t="s">
        <v>1306</v>
      </c>
      <c r="G35" s="621"/>
      <c r="H35" s="622" t="s">
        <v>587</v>
      </c>
      <c r="I35" s="930">
        <f>VLOOKUP("TV SERV ESCOLA 17 40H",RHE,10,FALSE)</f>
        <v>1236.19</v>
      </c>
      <c r="J35" s="588"/>
      <c r="K35" s="631"/>
      <c r="L35" s="589"/>
      <c r="M35" s="589"/>
      <c r="N35" s="602"/>
    </row>
    <row r="36" spans="2:14" ht="12.75">
      <c r="B36" s="614" t="s">
        <v>804</v>
      </c>
      <c r="C36" s="609">
        <f t="shared" si="0"/>
        <v>1332.55</v>
      </c>
      <c r="E36" s="601"/>
      <c r="F36" s="623" t="s">
        <v>1307</v>
      </c>
      <c r="G36" s="624"/>
      <c r="H36" s="625" t="s">
        <v>917</v>
      </c>
      <c r="I36" s="931">
        <f>VLOOKUP("TV SERV ESCOLA 03 40H",RHE,10,FALSE)</f>
        <v>1332.55</v>
      </c>
      <c r="J36" s="588"/>
      <c r="K36" s="631"/>
      <c r="L36" s="589"/>
      <c r="M36" s="589"/>
      <c r="N36" s="602"/>
    </row>
    <row r="37" spans="2:14" ht="12.75">
      <c r="B37" s="614" t="s">
        <v>805</v>
      </c>
      <c r="C37" s="609">
        <f t="shared" si="0"/>
        <v>1412.5</v>
      </c>
      <c r="E37" s="601"/>
      <c r="F37" s="615" t="s">
        <v>1308</v>
      </c>
      <c r="G37" s="616" t="s">
        <v>593</v>
      </c>
      <c r="H37" s="617" t="s">
        <v>1346</v>
      </c>
      <c r="I37" s="929">
        <f>VLOOKUP("TV SERV ESCOLA 06 40H",RHE,10,FALSE)</f>
        <v>1412.5</v>
      </c>
      <c r="J37" s="588"/>
      <c r="K37" s="631"/>
      <c r="L37" s="589"/>
      <c r="M37" s="589"/>
      <c r="N37" s="602"/>
    </row>
    <row r="38" spans="2:14" ht="12.75">
      <c r="B38" s="614" t="s">
        <v>806</v>
      </c>
      <c r="C38" s="609">
        <f t="shared" si="0"/>
        <v>1497.25</v>
      </c>
      <c r="E38" s="601"/>
      <c r="F38" s="615" t="s">
        <v>1309</v>
      </c>
      <c r="G38" s="616" t="s">
        <v>594</v>
      </c>
      <c r="H38" s="617" t="s">
        <v>1347</v>
      </c>
      <c r="I38" s="929">
        <f>VLOOKUP("TV SERV ESCOLA 09 40H",RHE,10,FALSE)</f>
        <v>1497.25</v>
      </c>
      <c r="J38" s="588"/>
      <c r="K38" s="631"/>
      <c r="L38" s="589"/>
      <c r="M38" s="589"/>
      <c r="N38" s="602"/>
    </row>
    <row r="39" spans="2:14" ht="12.75">
      <c r="B39" s="614" t="s">
        <v>807</v>
      </c>
      <c r="C39" s="609">
        <f t="shared" si="0"/>
        <v>1587.06</v>
      </c>
      <c r="E39" s="601"/>
      <c r="F39" s="615" t="s">
        <v>1310</v>
      </c>
      <c r="G39" s="590" t="s">
        <v>416</v>
      </c>
      <c r="H39" s="617" t="s">
        <v>1348</v>
      </c>
      <c r="I39" s="929">
        <f>VLOOKUP("TV SERV ESCOLA 12 40H",RHE,10,FALSE)</f>
        <v>1587.06</v>
      </c>
      <c r="J39" s="588"/>
      <c r="K39" s="631"/>
      <c r="L39" s="589"/>
      <c r="M39" s="589"/>
      <c r="N39" s="602"/>
    </row>
    <row r="40" spans="2:14" ht="12.75">
      <c r="B40" s="614" t="s">
        <v>808</v>
      </c>
      <c r="C40" s="609">
        <f t="shared" si="0"/>
        <v>1682.21</v>
      </c>
      <c r="E40" s="601"/>
      <c r="F40" s="615" t="s">
        <v>1311</v>
      </c>
      <c r="G40" s="616"/>
      <c r="H40" s="617" t="s">
        <v>1349</v>
      </c>
      <c r="I40" s="929">
        <f>VLOOKUP("TV SERV ESCOLA 15 40H",RHE,10,FALSE)</f>
        <v>1682.21</v>
      </c>
      <c r="J40" s="588"/>
      <c r="K40" s="631"/>
      <c r="L40" s="589"/>
      <c r="M40" s="589"/>
      <c r="N40" s="602"/>
    </row>
    <row r="41" spans="2:14" ht="13.5" thickBot="1">
      <c r="B41" s="632" t="s">
        <v>809</v>
      </c>
      <c r="C41" s="633">
        <f t="shared" si="0"/>
        <v>1785.61</v>
      </c>
      <c r="E41" s="601"/>
      <c r="F41" s="634" t="s">
        <v>1312</v>
      </c>
      <c r="G41" s="635"/>
      <c r="H41" s="636" t="s">
        <v>587</v>
      </c>
      <c r="I41" s="932">
        <f>VLOOKUP("TV SERV ESCOLA 18 40H",RHE,10,FALSE)</f>
        <v>1785.61</v>
      </c>
      <c r="J41" s="588"/>
      <c r="K41" s="631"/>
      <c r="L41" s="589"/>
      <c r="M41" s="589"/>
      <c r="N41" s="602"/>
    </row>
    <row r="42" spans="5:14" ht="12.75">
      <c r="E42" s="601"/>
      <c r="F42" s="637"/>
      <c r="G42" s="616"/>
      <c r="H42" s="638"/>
      <c r="I42" s="588"/>
      <c r="J42" s="588"/>
      <c r="K42" s="631"/>
      <c r="L42" s="589"/>
      <c r="M42" s="589"/>
      <c r="N42" s="602"/>
    </row>
    <row r="43" spans="5:14" ht="12.75">
      <c r="E43" s="601"/>
      <c r="F43" s="637"/>
      <c r="G43" s="616"/>
      <c r="H43" s="638"/>
      <c r="I43" s="588"/>
      <c r="J43" s="588"/>
      <c r="K43" s="631"/>
      <c r="L43" s="639"/>
      <c r="M43" s="639"/>
      <c r="N43" s="602"/>
    </row>
    <row r="44" spans="5:14" ht="12.75">
      <c r="E44" s="601"/>
      <c r="F44" s="1420" t="s">
        <v>595</v>
      </c>
      <c r="G44" s="1421"/>
      <c r="H44" s="1421"/>
      <c r="I44" s="1421"/>
      <c r="J44" s="1421"/>
      <c r="K44" s="1421"/>
      <c r="L44" s="1421"/>
      <c r="M44" s="1422"/>
      <c r="N44" s="602"/>
    </row>
    <row r="45" spans="5:14" ht="12.75">
      <c r="E45" s="601"/>
      <c r="F45" s="1423"/>
      <c r="G45" s="1424"/>
      <c r="H45" s="1424"/>
      <c r="I45" s="1424"/>
      <c r="J45" s="1424"/>
      <c r="K45" s="1424"/>
      <c r="L45" s="1424"/>
      <c r="M45" s="1425"/>
      <c r="N45" s="602"/>
    </row>
    <row r="46" spans="5:14" ht="12.75">
      <c r="E46" s="601"/>
      <c r="F46" s="1446" t="s">
        <v>773</v>
      </c>
      <c r="G46" s="1447"/>
      <c r="H46" s="1447"/>
      <c r="I46" s="1448"/>
      <c r="J46" s="1449" t="s">
        <v>596</v>
      </c>
      <c r="K46" s="1449"/>
      <c r="L46" s="1449"/>
      <c r="M46" s="1450"/>
      <c r="N46" s="602"/>
    </row>
    <row r="47" spans="5:14" ht="12.75">
      <c r="E47" s="601"/>
      <c r="F47" s="640" t="s">
        <v>597</v>
      </c>
      <c r="G47" s="641"/>
      <c r="H47" s="641"/>
      <c r="I47" s="642"/>
      <c r="J47" s="643"/>
      <c r="K47" s="644" t="s">
        <v>417</v>
      </c>
      <c r="L47" s="644"/>
      <c r="M47" s="645"/>
      <c r="N47" s="602"/>
    </row>
    <row r="48" spans="5:14" ht="12.75">
      <c r="E48" s="601"/>
      <c r="F48" s="646" t="s">
        <v>591</v>
      </c>
      <c r="G48" s="647"/>
      <c r="H48" s="647"/>
      <c r="I48" s="648"/>
      <c r="J48" s="649"/>
      <c r="K48" s="650" t="s">
        <v>417</v>
      </c>
      <c r="L48" s="650"/>
      <c r="M48" s="651"/>
      <c r="N48" s="602"/>
    </row>
    <row r="49" spans="5:14" ht="12.75">
      <c r="E49" s="601"/>
      <c r="F49" s="646" t="s">
        <v>598</v>
      </c>
      <c r="G49" s="647"/>
      <c r="H49" s="647"/>
      <c r="I49" s="648"/>
      <c r="J49" s="649"/>
      <c r="K49" s="650" t="s">
        <v>418</v>
      </c>
      <c r="L49" s="650"/>
      <c r="M49" s="651"/>
      <c r="N49" s="602"/>
    </row>
    <row r="50" spans="5:14" ht="12.75">
      <c r="E50" s="601"/>
      <c r="F50" s="646" t="s">
        <v>599</v>
      </c>
      <c r="G50" s="647"/>
      <c r="H50" s="647"/>
      <c r="I50" s="648"/>
      <c r="J50" s="649"/>
      <c r="K50" s="650" t="s">
        <v>418</v>
      </c>
      <c r="L50" s="650"/>
      <c r="M50" s="651"/>
      <c r="N50" s="602"/>
    </row>
    <row r="51" spans="5:14" ht="12.75">
      <c r="E51" s="601"/>
      <c r="F51" s="646" t="s">
        <v>600</v>
      </c>
      <c r="G51" s="647"/>
      <c r="H51" s="647"/>
      <c r="I51" s="648"/>
      <c r="J51" s="649"/>
      <c r="K51" s="650" t="s">
        <v>417</v>
      </c>
      <c r="L51" s="650"/>
      <c r="M51" s="651"/>
      <c r="N51" s="602"/>
    </row>
    <row r="52" spans="5:14" ht="12.75">
      <c r="E52" s="601"/>
      <c r="F52" s="652" t="s">
        <v>601</v>
      </c>
      <c r="G52" s="653"/>
      <c r="H52" s="653"/>
      <c r="I52" s="654"/>
      <c r="J52" s="655"/>
      <c r="K52" s="656" t="s">
        <v>417</v>
      </c>
      <c r="L52" s="656"/>
      <c r="M52" s="657"/>
      <c r="N52" s="602"/>
    </row>
    <row r="53" spans="5:14" ht="12.75">
      <c r="E53" s="601"/>
      <c r="F53" s="637"/>
      <c r="G53" s="616"/>
      <c r="H53" s="638"/>
      <c r="I53" s="588"/>
      <c r="J53" s="588"/>
      <c r="K53" s="631"/>
      <c r="L53" s="658"/>
      <c r="M53" s="658"/>
      <c r="N53" s="602"/>
    </row>
    <row r="54" spans="5:14" ht="12.75">
      <c r="E54" s="601"/>
      <c r="F54" s="1409" t="s">
        <v>592</v>
      </c>
      <c r="G54" s="1410"/>
      <c r="H54" s="1410"/>
      <c r="I54" s="1410"/>
      <c r="J54" s="1410"/>
      <c r="K54" s="1410"/>
      <c r="L54" s="1410"/>
      <c r="M54" s="1411"/>
      <c r="N54" s="602"/>
    </row>
    <row r="55" spans="5:14" ht="12.75">
      <c r="E55" s="601"/>
      <c r="F55" s="1412"/>
      <c r="G55" s="1413"/>
      <c r="H55" s="1413"/>
      <c r="I55" s="1413"/>
      <c r="J55" s="1413"/>
      <c r="K55" s="1413"/>
      <c r="L55" s="1413"/>
      <c r="M55" s="1414"/>
      <c r="N55" s="602"/>
    </row>
    <row r="56" spans="5:14" ht="12.75">
      <c r="E56" s="601"/>
      <c r="F56" s="1415"/>
      <c r="G56" s="1416"/>
      <c r="H56" s="1416"/>
      <c r="I56" s="1416"/>
      <c r="J56" s="1416"/>
      <c r="K56" s="1416"/>
      <c r="L56" s="1416"/>
      <c r="M56" s="1417"/>
      <c r="N56" s="602"/>
    </row>
    <row r="57" spans="5:14" ht="12.75">
      <c r="E57" s="659"/>
      <c r="F57" s="660"/>
      <c r="G57" s="635"/>
      <c r="H57" s="661"/>
      <c r="I57" s="662"/>
      <c r="J57" s="662"/>
      <c r="K57" s="663"/>
      <c r="L57" s="664"/>
      <c r="M57" s="664"/>
      <c r="N57" s="665"/>
    </row>
    <row r="58" spans="4:15" ht="12.75">
      <c r="D58" s="626"/>
      <c r="E58" s="607"/>
      <c r="F58" s="637"/>
      <c r="G58" s="616"/>
      <c r="H58" s="638"/>
      <c r="I58" s="588"/>
      <c r="J58" s="588"/>
      <c r="K58" s="631"/>
      <c r="L58" s="658"/>
      <c r="M58" s="658"/>
      <c r="N58" s="607"/>
      <c r="O58" s="626"/>
    </row>
    <row r="59" spans="4:15" ht="12.75">
      <c r="D59" s="626"/>
      <c r="E59" s="607"/>
      <c r="F59" s="589"/>
      <c r="G59" s="589"/>
      <c r="H59" s="589"/>
      <c r="I59" s="589"/>
      <c r="J59" s="589"/>
      <c r="K59" s="631"/>
      <c r="L59" s="589"/>
      <c r="M59" s="589"/>
      <c r="N59" s="607"/>
      <c r="O59" s="626"/>
    </row>
    <row r="60" spans="4:15" ht="12.75">
      <c r="D60" s="626"/>
      <c r="E60" s="607"/>
      <c r="F60" s="589"/>
      <c r="G60" s="589"/>
      <c r="H60" s="589"/>
      <c r="I60" s="589"/>
      <c r="J60" s="589"/>
      <c r="K60" s="631"/>
      <c r="L60" s="589"/>
      <c r="M60" s="589"/>
      <c r="N60" s="607"/>
      <c r="O60" s="626"/>
    </row>
    <row r="61" spans="4:15" ht="12.75">
      <c r="D61" s="626"/>
      <c r="E61" s="607"/>
      <c r="F61" s="607"/>
      <c r="G61" s="607"/>
      <c r="H61" s="607"/>
      <c r="I61" s="607"/>
      <c r="J61" s="607"/>
      <c r="K61" s="627"/>
      <c r="L61" s="627"/>
      <c r="M61" s="627"/>
      <c r="N61" s="607"/>
      <c r="O61" s="626"/>
    </row>
  </sheetData>
  <sheetProtection/>
  <mergeCells count="20">
    <mergeCell ref="E3:F4"/>
    <mergeCell ref="G3:J3"/>
    <mergeCell ref="K3:N3"/>
    <mergeCell ref="K4:N4"/>
    <mergeCell ref="F46:I46"/>
    <mergeCell ref="J46:M46"/>
    <mergeCell ref="K12:K13"/>
    <mergeCell ref="K18:K19"/>
    <mergeCell ref="K22:L22"/>
    <mergeCell ref="K20:K21"/>
    <mergeCell ref="I9:I10"/>
    <mergeCell ref="F54:M56"/>
    <mergeCell ref="F9:F10"/>
    <mergeCell ref="F44:M45"/>
    <mergeCell ref="G9:G10"/>
    <mergeCell ref="G4:J4"/>
    <mergeCell ref="K9:M10"/>
    <mergeCell ref="H9:H10"/>
    <mergeCell ref="K14:K15"/>
    <mergeCell ref="K16:K17"/>
  </mergeCells>
  <printOptions/>
  <pageMargins left="0.52" right="0.41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J131"/>
  <sheetViews>
    <sheetView zoomScalePageLayoutView="0" workbookViewId="0" topLeftCell="AC1">
      <selection activeCell="AY12" sqref="AY12:AZ17"/>
    </sheetView>
  </sheetViews>
  <sheetFormatPr defaultColWidth="9.140625" defaultRowHeight="12.75"/>
  <cols>
    <col min="1" max="1" width="4.7109375" style="130" customWidth="1"/>
    <col min="2" max="3" width="9.140625" style="31" hidden="1" customWidth="1"/>
    <col min="4" max="4" width="1.57421875" style="31" customWidth="1"/>
    <col min="5" max="5" width="12.8515625" style="31" customWidth="1"/>
    <col min="6" max="6" width="11.421875" style="31" customWidth="1"/>
    <col min="7" max="7" width="34.8515625" style="31" customWidth="1"/>
    <col min="8" max="8" width="11.421875" style="31" customWidth="1"/>
    <col min="9" max="9" width="12.8515625" style="31" customWidth="1"/>
    <col min="10" max="10" width="9.57421875" style="31" customWidth="1"/>
    <col min="11" max="14" width="9.140625" style="31" hidden="1" customWidth="1"/>
    <col min="15" max="15" width="3.7109375" style="81" hidden="1" customWidth="1"/>
    <col min="16" max="16" width="10.00390625" style="31" hidden="1" customWidth="1"/>
    <col min="17" max="17" width="9.140625" style="31" hidden="1" customWidth="1"/>
    <col min="18" max="18" width="1.7109375" style="31" customWidth="1"/>
    <col min="19" max="19" width="7.28125" style="31" customWidth="1"/>
    <col min="20" max="20" width="7.421875" style="79" customWidth="1"/>
    <col min="21" max="21" width="42.00390625" style="31" customWidth="1"/>
    <col min="22" max="22" width="7.7109375" style="31" customWidth="1"/>
    <col min="23" max="23" width="10.140625" style="31" customWidth="1"/>
    <col min="24" max="24" width="7.28125" style="31" customWidth="1"/>
    <col min="25" max="25" width="2.57421875" style="31" customWidth="1"/>
    <col min="26" max="26" width="5.00390625" style="31" customWidth="1"/>
    <col min="27" max="28" width="10.7109375" style="31" hidden="1" customWidth="1"/>
    <col min="29" max="30" width="7.140625" style="31" customWidth="1"/>
    <col min="31" max="31" width="8.28125" style="31" customWidth="1"/>
    <col min="32" max="32" width="7.8515625" style="79" customWidth="1"/>
    <col min="33" max="33" width="39.140625" style="31" customWidth="1"/>
    <col min="34" max="34" width="9.7109375" style="79" hidden="1" customWidth="1"/>
    <col min="35" max="35" width="11.00390625" style="31" customWidth="1"/>
    <col min="36" max="36" width="12.140625" style="31" customWidth="1"/>
    <col min="37" max="37" width="11.7109375" style="31" customWidth="1"/>
    <col min="38" max="38" width="10.00390625" style="31" customWidth="1"/>
    <col min="39" max="39" width="10.00390625" style="31" hidden="1" customWidth="1"/>
    <col min="40" max="40" width="9.28125" style="31" hidden="1" customWidth="1"/>
    <col min="41" max="41" width="2.7109375" style="31" customWidth="1"/>
    <col min="42" max="43" width="7.140625" style="31" customWidth="1"/>
    <col min="44" max="44" width="9.57421875" style="31" customWidth="1"/>
    <col min="45" max="45" width="25.28125" style="31" customWidth="1"/>
    <col min="46" max="47" width="9.7109375" style="31" customWidth="1"/>
    <col min="48" max="48" width="11.140625" style="31" customWidth="1"/>
    <col min="49" max="49" width="8.7109375" style="31" customWidth="1"/>
    <col min="50" max="50" width="9.140625" style="31" customWidth="1"/>
    <col min="51" max="51" width="10.00390625" style="31" hidden="1" customWidth="1"/>
    <col min="52" max="52" width="9.140625" style="31" hidden="1" customWidth="1"/>
    <col min="53" max="53" width="2.7109375" style="31" customWidth="1"/>
    <col min="54" max="55" width="7.140625" style="31" customWidth="1"/>
    <col min="56" max="56" width="9.421875" style="31" customWidth="1"/>
    <col min="57" max="57" width="25.28125" style="31" customWidth="1"/>
    <col min="58" max="59" width="9.7109375" style="31" customWidth="1"/>
    <col min="60" max="61" width="8.7109375" style="31" customWidth="1"/>
    <col min="62" max="62" width="4.7109375" style="31" customWidth="1"/>
    <col min="63" max="16384" width="9.140625" style="31" customWidth="1"/>
  </cols>
  <sheetData>
    <row r="1" ht="12">
      <c r="H1" s="31" t="s">
        <v>277</v>
      </c>
    </row>
    <row r="2" spans="5:62" ht="15">
      <c r="E2" s="117"/>
      <c r="F2" s="118"/>
      <c r="G2" s="118" t="s">
        <v>1079</v>
      </c>
      <c r="H2" s="118"/>
      <c r="I2" s="119"/>
      <c r="S2" s="117"/>
      <c r="T2" s="147"/>
      <c r="U2" s="118"/>
      <c r="V2" s="118"/>
      <c r="W2" s="118"/>
      <c r="X2" s="119"/>
      <c r="AD2" s="117"/>
      <c r="AE2" s="118"/>
      <c r="AF2" s="147"/>
      <c r="AG2" s="118"/>
      <c r="AH2" s="147"/>
      <c r="AI2" s="118"/>
      <c r="AJ2" s="118"/>
      <c r="AK2" s="119"/>
      <c r="AP2" s="117"/>
      <c r="AQ2" s="118"/>
      <c r="AR2" s="118"/>
      <c r="AS2" s="118"/>
      <c r="AT2" s="118"/>
      <c r="AU2" s="118"/>
      <c r="AV2" s="118"/>
      <c r="AW2" s="119"/>
      <c r="BB2" s="117"/>
      <c r="BC2" s="118"/>
      <c r="BD2" s="118"/>
      <c r="BE2" s="118"/>
      <c r="BF2" s="118"/>
      <c r="BG2" s="118"/>
      <c r="BH2" s="118"/>
      <c r="BI2" s="119"/>
      <c r="BJ2" s="126"/>
    </row>
    <row r="3" spans="5:61" ht="15">
      <c r="E3" s="1216" t="s">
        <v>1320</v>
      </c>
      <c r="F3" s="1193"/>
      <c r="G3" s="90" t="s">
        <v>1321</v>
      </c>
      <c r="H3" s="1193" t="s">
        <v>1080</v>
      </c>
      <c r="I3" s="1214"/>
      <c r="S3" s="1216" t="s">
        <v>274</v>
      </c>
      <c r="T3" s="1193"/>
      <c r="U3" s="1193" t="s">
        <v>67</v>
      </c>
      <c r="V3" s="1193"/>
      <c r="W3" s="1193" t="s">
        <v>1080</v>
      </c>
      <c r="X3" s="1214"/>
      <c r="AD3" s="120" t="s">
        <v>274</v>
      </c>
      <c r="AE3" s="276"/>
      <c r="AF3" s="1193" t="s">
        <v>1390</v>
      </c>
      <c r="AG3" s="1193"/>
      <c r="AH3" s="1193"/>
      <c r="AI3" s="1193"/>
      <c r="AJ3" s="1193" t="s">
        <v>1080</v>
      </c>
      <c r="AK3" s="1214"/>
      <c r="AP3" s="1216" t="s">
        <v>314</v>
      </c>
      <c r="AQ3" s="1193"/>
      <c r="AR3" s="1193" t="s">
        <v>1391</v>
      </c>
      <c r="AS3" s="1193"/>
      <c r="AT3" s="1193"/>
      <c r="AU3" s="1193"/>
      <c r="AV3" s="1193" t="s">
        <v>1080</v>
      </c>
      <c r="AW3" s="1214"/>
      <c r="BB3" s="1216" t="s">
        <v>314</v>
      </c>
      <c r="BC3" s="1193"/>
      <c r="BD3" s="1193" t="s">
        <v>1401</v>
      </c>
      <c r="BE3" s="1193"/>
      <c r="BF3" s="1193"/>
      <c r="BG3" s="1193"/>
      <c r="BH3" s="1193" t="s">
        <v>1080</v>
      </c>
      <c r="BI3" s="1214"/>
    </row>
    <row r="4" spans="5:61" ht="15" customHeight="1">
      <c r="E4" s="120"/>
      <c r="F4" s="121"/>
      <c r="G4" s="90" t="s">
        <v>1333</v>
      </c>
      <c r="H4" s="1194">
        <v>38261</v>
      </c>
      <c r="I4" s="1195"/>
      <c r="S4" s="120"/>
      <c r="T4" s="90"/>
      <c r="U4" s="1193" t="s">
        <v>833</v>
      </c>
      <c r="V4" s="1193"/>
      <c r="W4" s="1360">
        <f>MAX(VLOOKUP("TV PGE SERVIDORES 01 40H",RHE,5,FALSE),VLOOKUP("TV GOVERNO 01 40H",RHE,5,FALSE))</f>
        <v>41640</v>
      </c>
      <c r="X4" s="1361"/>
      <c r="AD4" s="1204"/>
      <c r="AE4" s="1205"/>
      <c r="AF4" s="1193" t="s">
        <v>1389</v>
      </c>
      <c r="AG4" s="1193"/>
      <c r="AH4" s="1193"/>
      <c r="AI4" s="1193"/>
      <c r="AJ4" s="1264">
        <f>MAX(VLOOKUP("TV DEFENSORES 01 40H",RHE,5,FALSE),VLOOKUP("TV ESP SARH PROC 01 40H",RHE,5,FALSE))</f>
        <v>41640</v>
      </c>
      <c r="AK4" s="1265">
        <f>VLOOKUP("TV DEFENSORES 01 40H",RHE,10,FALSE)</f>
        <v>7995.06</v>
      </c>
      <c r="AP4" s="120"/>
      <c r="AQ4" s="121"/>
      <c r="AR4" s="1193" t="s">
        <v>1392</v>
      </c>
      <c r="AS4" s="1193"/>
      <c r="AT4" s="1193"/>
      <c r="AU4" s="1193"/>
      <c r="AV4" s="1194">
        <f>VLOOKUP("TV PGE PROCURADOR 01 40H",RHE,5,FALSE)</f>
        <v>41640</v>
      </c>
      <c r="AW4" s="1195">
        <f>VLOOKUP("TV PGE PROCURADOR 01 40H",RHE,10,FALSE)</f>
        <v>0</v>
      </c>
      <c r="BB4" s="120"/>
      <c r="BC4" s="121"/>
      <c r="BD4" s="1193" t="s">
        <v>1402</v>
      </c>
      <c r="BE4" s="1193"/>
      <c r="BF4" s="1193"/>
      <c r="BG4" s="1193"/>
      <c r="BH4" s="1264">
        <v>39417</v>
      </c>
      <c r="BI4" s="1265"/>
    </row>
    <row r="5" spans="5:61" ht="15">
      <c r="E5" s="122"/>
      <c r="F5" s="123"/>
      <c r="G5" s="123" t="s">
        <v>1079</v>
      </c>
      <c r="H5" s="123" t="s">
        <v>277</v>
      </c>
      <c r="I5" s="128"/>
      <c r="S5" s="122"/>
      <c r="T5" s="127"/>
      <c r="U5" s="123"/>
      <c r="V5" s="123"/>
      <c r="W5" s="123" t="s">
        <v>277</v>
      </c>
      <c r="X5" s="128"/>
      <c r="AD5" s="1472"/>
      <c r="AE5" s="1473"/>
      <c r="AF5" s="127"/>
      <c r="AG5" s="123"/>
      <c r="AH5" s="127" t="s">
        <v>277</v>
      </c>
      <c r="AI5" s="123"/>
      <c r="AJ5" s="123"/>
      <c r="AK5" s="128" t="s">
        <v>277</v>
      </c>
      <c r="AP5" s="1468"/>
      <c r="AQ5" s="1206"/>
      <c r="AR5" s="123"/>
      <c r="AS5" s="123"/>
      <c r="AT5" s="123" t="s">
        <v>277</v>
      </c>
      <c r="AU5" s="123"/>
      <c r="AV5" s="123"/>
      <c r="AW5" s="128" t="s">
        <v>277</v>
      </c>
      <c r="BB5" s="122"/>
      <c r="BC5" s="123"/>
      <c r="BD5" s="123"/>
      <c r="BE5" s="123"/>
      <c r="BF5" s="123" t="s">
        <v>277</v>
      </c>
      <c r="BG5" s="123"/>
      <c r="BH5" s="123"/>
      <c r="BI5" s="128" t="s">
        <v>277</v>
      </c>
    </row>
    <row r="6" spans="5:61" ht="12">
      <c r="E6" s="106"/>
      <c r="F6" s="129"/>
      <c r="G6" s="104" t="s">
        <v>1079</v>
      </c>
      <c r="H6" s="104"/>
      <c r="I6" s="107"/>
      <c r="S6" s="106"/>
      <c r="T6" s="148"/>
      <c r="U6" s="104"/>
      <c r="V6" s="104"/>
      <c r="W6" s="104"/>
      <c r="X6" s="107"/>
      <c r="AD6" s="106"/>
      <c r="AE6" s="129"/>
      <c r="AF6" s="148"/>
      <c r="AG6" s="104"/>
      <c r="AH6" s="149"/>
      <c r="AI6" s="104"/>
      <c r="AJ6" s="104"/>
      <c r="AK6" s="105"/>
      <c r="AP6" s="106"/>
      <c r="AQ6" s="129"/>
      <c r="AR6" s="129"/>
      <c r="AS6" s="104"/>
      <c r="AT6" s="104"/>
      <c r="AU6" s="104"/>
      <c r="AV6" s="104"/>
      <c r="AW6" s="105"/>
      <c r="BB6" s="106"/>
      <c r="BC6" s="129"/>
      <c r="BD6" s="129"/>
      <c r="BE6" s="104"/>
      <c r="BF6" s="104"/>
      <c r="BG6" s="104"/>
      <c r="BH6" s="104"/>
      <c r="BI6" s="105"/>
    </row>
    <row r="7" spans="5:61" ht="12">
      <c r="E7" s="108"/>
      <c r="F7" s="30"/>
      <c r="G7" s="29" t="s">
        <v>1079</v>
      </c>
      <c r="H7" s="29"/>
      <c r="I7" s="109"/>
      <c r="S7" s="108"/>
      <c r="T7" s="112"/>
      <c r="U7" s="29"/>
      <c r="V7" s="29"/>
      <c r="W7" s="29"/>
      <c r="X7" s="109"/>
      <c r="AD7" s="108"/>
      <c r="AE7" s="30"/>
      <c r="AF7" s="112"/>
      <c r="AG7" s="29"/>
      <c r="AH7" s="131"/>
      <c r="AI7" s="29"/>
      <c r="AJ7" s="29"/>
      <c r="AK7" s="71"/>
      <c r="AP7" s="108"/>
      <c r="AQ7" s="30"/>
      <c r="AR7" s="30"/>
      <c r="AS7" s="29"/>
      <c r="AT7" s="29"/>
      <c r="AU7" s="29"/>
      <c r="AV7" s="29"/>
      <c r="AW7" s="71"/>
      <c r="BB7" s="108"/>
      <c r="BC7" s="30"/>
      <c r="BD7" s="30"/>
      <c r="BE7" s="29"/>
      <c r="BF7" s="29"/>
      <c r="BG7" s="29"/>
      <c r="BH7" s="29"/>
      <c r="BI7" s="71"/>
    </row>
    <row r="8" spans="5:61" ht="20.25" customHeight="1">
      <c r="E8" s="108"/>
      <c r="F8" s="39" t="s">
        <v>721</v>
      </c>
      <c r="G8" s="110" t="s">
        <v>227</v>
      </c>
      <c r="H8" s="40" t="s">
        <v>1408</v>
      </c>
      <c r="I8" s="109"/>
      <c r="S8" s="108"/>
      <c r="T8" s="39" t="s">
        <v>721</v>
      </c>
      <c r="U8" s="39" t="s">
        <v>227</v>
      </c>
      <c r="V8" s="39" t="s">
        <v>799</v>
      </c>
      <c r="W8" s="39" t="s">
        <v>1408</v>
      </c>
      <c r="X8" s="109"/>
      <c r="AD8" s="108"/>
      <c r="AE8" s="30"/>
      <c r="AJ8" s="271"/>
      <c r="AK8" s="71"/>
      <c r="AP8" s="108"/>
      <c r="AQ8" s="30"/>
      <c r="AR8" s="30"/>
      <c r="AS8" s="29"/>
      <c r="AT8" s="29"/>
      <c r="AU8" s="29"/>
      <c r="AV8" s="29"/>
      <c r="AW8" s="71"/>
      <c r="BB8" s="108"/>
      <c r="BC8" s="30"/>
      <c r="BD8" s="30"/>
      <c r="BE8" s="29"/>
      <c r="BF8" s="29"/>
      <c r="BG8" s="29"/>
      <c r="BH8" s="29"/>
      <c r="BI8" s="71"/>
    </row>
    <row r="9" spans="5:61" ht="12.75" thickBot="1">
      <c r="E9" s="108"/>
      <c r="F9" s="112"/>
      <c r="G9" s="112"/>
      <c r="H9" s="112"/>
      <c r="I9" s="109"/>
      <c r="S9" s="108"/>
      <c r="T9" s="112"/>
      <c r="U9" s="29" t="s">
        <v>1079</v>
      </c>
      <c r="V9" s="29"/>
      <c r="W9" s="29" t="s">
        <v>1079</v>
      </c>
      <c r="X9" s="109"/>
      <c r="AD9" s="108"/>
      <c r="AE9" s="30"/>
      <c r="AJ9" s="29"/>
      <c r="AK9" s="71"/>
      <c r="AP9" s="108"/>
      <c r="AQ9" s="30"/>
      <c r="AR9" s="30"/>
      <c r="AS9" s="29"/>
      <c r="AT9" s="29"/>
      <c r="AU9" s="29"/>
      <c r="AV9" s="29"/>
      <c r="AW9" s="71"/>
      <c r="BB9" s="108"/>
      <c r="BC9" s="30"/>
      <c r="BD9" s="30"/>
      <c r="BE9" s="29"/>
      <c r="BF9" s="29"/>
      <c r="BG9" s="29"/>
      <c r="BH9" s="29"/>
      <c r="BI9" s="71"/>
    </row>
    <row r="10" spans="2:61" ht="12">
      <c r="B10" s="62" t="s">
        <v>624</v>
      </c>
      <c r="C10" s="63">
        <f>TAB05_DATA_VAL</f>
        <v>38261</v>
      </c>
      <c r="E10" s="108"/>
      <c r="F10" s="1469" t="s">
        <v>1409</v>
      </c>
      <c r="G10" s="460" t="s">
        <v>1325</v>
      </c>
      <c r="H10" s="1474">
        <v>7916.28</v>
      </c>
      <c r="I10" s="109"/>
      <c r="K10" s="62" t="s">
        <v>625</v>
      </c>
      <c r="L10" s="63">
        <f>TAB06A_DATA_VAL</f>
        <v>41640</v>
      </c>
      <c r="M10" s="62" t="s">
        <v>625</v>
      </c>
      <c r="N10" s="63">
        <f>L10</f>
        <v>41640</v>
      </c>
      <c r="P10" s="62" t="s">
        <v>626</v>
      </c>
      <c r="Q10" s="63">
        <f>TAB06A_DATA_VAL</f>
        <v>41640</v>
      </c>
      <c r="S10" s="108"/>
      <c r="T10" s="1469" t="s">
        <v>1409</v>
      </c>
      <c r="U10" s="460" t="s">
        <v>834</v>
      </c>
      <c r="V10" s="1470">
        <v>0.95</v>
      </c>
      <c r="W10" s="1471">
        <v>9494.6</v>
      </c>
      <c r="X10" s="109"/>
      <c r="AD10" s="108"/>
      <c r="AE10" s="30"/>
      <c r="AJ10" s="136"/>
      <c r="AK10" s="71"/>
      <c r="AP10" s="108"/>
      <c r="AQ10" s="30"/>
      <c r="AR10" s="30"/>
      <c r="AS10" s="29"/>
      <c r="AT10" s="29"/>
      <c r="AU10" s="29"/>
      <c r="AV10" s="29"/>
      <c r="AW10" s="71"/>
      <c r="BB10" s="108"/>
      <c r="BC10" s="30"/>
      <c r="BD10" s="30"/>
      <c r="BE10" s="29"/>
      <c r="BF10" s="29"/>
      <c r="BG10" s="29"/>
      <c r="BH10" s="29"/>
      <c r="BI10" s="71"/>
    </row>
    <row r="11" spans="2:61" ht="13.5" customHeight="1" thickBot="1">
      <c r="B11" s="66" t="s">
        <v>281</v>
      </c>
      <c r="C11" s="65">
        <f>TAB05_PD01</f>
        <v>7916.28</v>
      </c>
      <c r="E11" s="108"/>
      <c r="F11" s="1455"/>
      <c r="G11" s="515" t="s">
        <v>1326</v>
      </c>
      <c r="H11" s="1475"/>
      <c r="I11" s="109"/>
      <c r="K11" s="66" t="s">
        <v>281</v>
      </c>
      <c r="L11" s="65">
        <f>W10</f>
        <v>9494.6</v>
      </c>
      <c r="M11" s="66" t="s">
        <v>93</v>
      </c>
      <c r="N11" s="65">
        <v>522.83</v>
      </c>
      <c r="P11" s="66" t="s">
        <v>285</v>
      </c>
      <c r="Q11" s="65">
        <f>W13</f>
        <v>7916.28</v>
      </c>
      <c r="S11" s="108"/>
      <c r="T11" s="1455"/>
      <c r="U11" s="515" t="s">
        <v>837</v>
      </c>
      <c r="V11" s="1457"/>
      <c r="W11" s="1459"/>
      <c r="X11" s="109"/>
      <c r="AD11" s="108"/>
      <c r="AE11" s="30"/>
      <c r="AF11" s="1290" t="s">
        <v>721</v>
      </c>
      <c r="AG11" s="1296" t="s">
        <v>227</v>
      </c>
      <c r="AH11" s="1296" t="s">
        <v>799</v>
      </c>
      <c r="AI11" s="1460" t="s">
        <v>1408</v>
      </c>
      <c r="AJ11" s="1460" t="s">
        <v>1420</v>
      </c>
      <c r="AK11" s="71"/>
      <c r="AP11" s="108"/>
      <c r="AQ11" s="30"/>
      <c r="AR11" s="1290" t="s">
        <v>721</v>
      </c>
      <c r="AS11" s="1296" t="s">
        <v>227</v>
      </c>
      <c r="AT11" s="1296" t="s">
        <v>799</v>
      </c>
      <c r="AU11" s="1460" t="s">
        <v>1408</v>
      </c>
      <c r="AV11" s="1460" t="s">
        <v>1420</v>
      </c>
      <c r="AW11" s="71"/>
      <c r="BB11" s="108"/>
      <c r="BC11" s="30"/>
      <c r="BD11" s="1290" t="s">
        <v>721</v>
      </c>
      <c r="BE11" s="1296" t="s">
        <v>227</v>
      </c>
      <c r="BF11" s="1296" t="s">
        <v>799</v>
      </c>
      <c r="BG11" s="1460" t="s">
        <v>1408</v>
      </c>
      <c r="BH11" s="131"/>
      <c r="BI11" s="71"/>
    </row>
    <row r="12" spans="2:61" ht="12">
      <c r="B12" s="66" t="s">
        <v>285</v>
      </c>
      <c r="C12" s="65">
        <f>TAB05_PD02</f>
        <v>7916.28</v>
      </c>
      <c r="E12" s="108"/>
      <c r="F12" s="112"/>
      <c r="G12" s="29"/>
      <c r="H12" s="864"/>
      <c r="I12" s="109"/>
      <c r="K12" s="66" t="s">
        <v>285</v>
      </c>
      <c r="L12" s="65">
        <f>W13</f>
        <v>7916.28</v>
      </c>
      <c r="M12" s="66" t="s">
        <v>94</v>
      </c>
      <c r="N12" s="65">
        <v>560.31</v>
      </c>
      <c r="P12" s="66" t="s">
        <v>289</v>
      </c>
      <c r="Q12" s="65">
        <f>W16</f>
        <v>8411.04</v>
      </c>
      <c r="S12" s="108"/>
      <c r="T12" s="112"/>
      <c r="U12" s="29"/>
      <c r="V12" s="525"/>
      <c r="W12" s="864"/>
      <c r="X12" s="109"/>
      <c r="AA12" s="62" t="s">
        <v>627</v>
      </c>
      <c r="AB12" s="63">
        <f>TAB20_DATA_VAL</f>
        <v>41640</v>
      </c>
      <c r="AD12" s="108"/>
      <c r="AE12" s="30"/>
      <c r="AF12" s="1291"/>
      <c r="AG12" s="1297"/>
      <c r="AH12" s="1297"/>
      <c r="AI12" s="1461"/>
      <c r="AJ12" s="1461"/>
      <c r="AK12" s="71"/>
      <c r="AM12" s="62" t="s">
        <v>628</v>
      </c>
      <c r="AN12" s="63">
        <f>TAB21_DATA_VAL</f>
        <v>41640</v>
      </c>
      <c r="AP12" s="108"/>
      <c r="AQ12" s="30"/>
      <c r="AR12" s="1291"/>
      <c r="AS12" s="1297"/>
      <c r="AT12" s="1297"/>
      <c r="AU12" s="1461"/>
      <c r="AV12" s="1461"/>
      <c r="AW12" s="71"/>
      <c r="AY12" s="62" t="s">
        <v>629</v>
      </c>
      <c r="AZ12" s="63">
        <f>TAB22_DATA_VAL</f>
        <v>39417</v>
      </c>
      <c r="BB12" s="108"/>
      <c r="BC12" s="30"/>
      <c r="BD12" s="1291"/>
      <c r="BE12" s="1297"/>
      <c r="BF12" s="1297"/>
      <c r="BG12" s="1461"/>
      <c r="BH12" s="29"/>
      <c r="BI12" s="71"/>
    </row>
    <row r="13" spans="2:61" ht="12.75" customHeight="1">
      <c r="B13" s="66" t="s">
        <v>60</v>
      </c>
      <c r="C13" s="65">
        <f>TAB05_PD04</f>
        <v>8411.04</v>
      </c>
      <c r="D13" s="31" t="s">
        <v>1079</v>
      </c>
      <c r="E13" s="108"/>
      <c r="F13" s="512" t="s">
        <v>1410</v>
      </c>
      <c r="G13" s="513" t="s">
        <v>1322</v>
      </c>
      <c r="H13" s="865">
        <v>7916.28</v>
      </c>
      <c r="I13" s="109"/>
      <c r="K13" s="66" t="s">
        <v>289</v>
      </c>
      <c r="L13" s="65">
        <f>W16</f>
        <v>8411.04</v>
      </c>
      <c r="M13" s="66" t="s">
        <v>95</v>
      </c>
      <c r="N13" s="65">
        <v>640.62</v>
      </c>
      <c r="P13" s="66" t="s">
        <v>60</v>
      </c>
      <c r="Q13" s="65">
        <f>W19</f>
        <v>8905.81</v>
      </c>
      <c r="S13" s="108"/>
      <c r="T13" s="1454" t="s">
        <v>1410</v>
      </c>
      <c r="U13" s="489" t="s">
        <v>835</v>
      </c>
      <c r="V13" s="1456">
        <v>0.8</v>
      </c>
      <c r="W13" s="1458">
        <v>7916.28</v>
      </c>
      <c r="X13" s="109"/>
      <c r="AA13" s="66" t="s">
        <v>281</v>
      </c>
      <c r="AB13" s="65">
        <f>AI14</f>
        <v>7995.06</v>
      </c>
      <c r="AD13" s="108"/>
      <c r="AE13" s="30"/>
      <c r="AF13" s="112"/>
      <c r="AG13" s="29"/>
      <c r="AH13" s="131"/>
      <c r="AI13" s="29"/>
      <c r="AK13" s="109"/>
      <c r="AM13" s="66" t="s">
        <v>281</v>
      </c>
      <c r="AN13" s="65">
        <f>AU14</f>
        <v>6285.9</v>
      </c>
      <c r="AP13" s="108"/>
      <c r="AQ13" s="30"/>
      <c r="AR13" s="30"/>
      <c r="AV13" s="30"/>
      <c r="AW13" s="109"/>
      <c r="AY13" s="66" t="s">
        <v>281</v>
      </c>
      <c r="AZ13" s="65">
        <f>BG14</f>
        <v>7445.02</v>
      </c>
      <c r="BB13" s="108"/>
      <c r="BC13" s="30"/>
      <c r="BD13" s="30"/>
      <c r="BE13" s="29"/>
      <c r="BH13" s="30"/>
      <c r="BI13" s="109"/>
    </row>
    <row r="14" spans="2:61" ht="13.5" customHeight="1" thickBot="1">
      <c r="B14" s="66" t="s">
        <v>863</v>
      </c>
      <c r="C14" s="65">
        <f>TAB05_PD06</f>
        <v>8905.81</v>
      </c>
      <c r="E14" s="108"/>
      <c r="F14" s="112"/>
      <c r="G14" s="29"/>
      <c r="H14" s="866" t="s">
        <v>277</v>
      </c>
      <c r="I14" s="109"/>
      <c r="K14" s="66" t="s">
        <v>60</v>
      </c>
      <c r="L14" s="139">
        <f>W19</f>
        <v>8905.81</v>
      </c>
      <c r="M14" s="66" t="s">
        <v>727</v>
      </c>
      <c r="N14" s="65">
        <v>687</v>
      </c>
      <c r="P14" s="67" t="s">
        <v>63</v>
      </c>
      <c r="Q14" s="83">
        <f>W22</f>
        <v>9895.35</v>
      </c>
      <c r="S14" s="108"/>
      <c r="T14" s="1455"/>
      <c r="U14" s="515" t="s">
        <v>836</v>
      </c>
      <c r="V14" s="1457"/>
      <c r="W14" s="1459"/>
      <c r="X14" s="109"/>
      <c r="AA14" s="66" t="s">
        <v>285</v>
      </c>
      <c r="AB14" s="65">
        <f>AI16</f>
        <v>8494.74</v>
      </c>
      <c r="AD14" s="108"/>
      <c r="AE14" s="30"/>
      <c r="AF14" s="440" t="s">
        <v>1409</v>
      </c>
      <c r="AG14" s="977" t="s">
        <v>1393</v>
      </c>
      <c r="AH14" s="443">
        <v>0.8</v>
      </c>
      <c r="AI14" s="902">
        <f>VLOOKUP("TV DEFENSORES 01 40H",RHE,10,FALSE)</f>
        <v>7995.06</v>
      </c>
      <c r="AJ14" s="902">
        <f>VLOOKUP("TV DEFENSORES 01 40H",RHE,12,FALSE)</f>
        <v>19383.86</v>
      </c>
      <c r="AK14" s="109"/>
      <c r="AM14" s="66" t="s">
        <v>285</v>
      </c>
      <c r="AN14" s="65">
        <f>AU16</f>
        <v>6678.8</v>
      </c>
      <c r="AP14" s="108"/>
      <c r="AQ14" s="30"/>
      <c r="AR14" s="440" t="s">
        <v>1409</v>
      </c>
      <c r="AS14" s="437" t="s">
        <v>1393</v>
      </c>
      <c r="AT14" s="443">
        <v>0.8</v>
      </c>
      <c r="AU14" s="902">
        <f>VLOOKUP("TV PGE PROCURADOR 02 40H",RHE,10,FALSE)</f>
        <v>6285.9</v>
      </c>
      <c r="AV14" s="902">
        <f>VLOOKUP("TV PGE PROCURADOR 02 40H",RHE,14,FALSE)</f>
        <v>18460.82</v>
      </c>
      <c r="AW14" s="109"/>
      <c r="AY14" s="66" t="s">
        <v>285</v>
      </c>
      <c r="AZ14" s="65">
        <f>BG16</f>
        <v>7910.32</v>
      </c>
      <c r="BB14" s="108"/>
      <c r="BC14" s="30"/>
      <c r="BD14" s="144" t="s">
        <v>1409</v>
      </c>
      <c r="BE14" s="52" t="s">
        <v>1393</v>
      </c>
      <c r="BF14" s="272">
        <v>0.8</v>
      </c>
      <c r="BG14" s="905">
        <v>7445.02</v>
      </c>
      <c r="BH14" s="30"/>
      <c r="BI14" s="109"/>
    </row>
    <row r="15" spans="2:61" ht="12">
      <c r="B15" s="66" t="s">
        <v>865</v>
      </c>
      <c r="C15" s="65">
        <f>TAB05_PD07</f>
        <v>9400.58</v>
      </c>
      <c r="E15" s="108"/>
      <c r="F15" s="1454" t="s">
        <v>1412</v>
      </c>
      <c r="G15" s="489" t="s">
        <v>1323</v>
      </c>
      <c r="H15" s="1476">
        <v>8411.04</v>
      </c>
      <c r="I15" s="109"/>
      <c r="K15" s="66" t="s">
        <v>63</v>
      </c>
      <c r="L15" s="65">
        <f>W22</f>
        <v>9895.35</v>
      </c>
      <c r="M15" s="66" t="s">
        <v>728</v>
      </c>
      <c r="N15" s="65">
        <v>733.41</v>
      </c>
      <c r="P15" s="86"/>
      <c r="Q15" s="87"/>
      <c r="S15" s="108"/>
      <c r="T15" s="112"/>
      <c r="U15" s="29"/>
      <c r="V15" s="525"/>
      <c r="W15" s="866" t="s">
        <v>1079</v>
      </c>
      <c r="X15" s="109"/>
      <c r="AA15" s="66" t="s">
        <v>289</v>
      </c>
      <c r="AB15" s="65">
        <f>AI18</f>
        <v>8994.44</v>
      </c>
      <c r="AD15" s="108"/>
      <c r="AE15" s="30"/>
      <c r="AF15" s="112"/>
      <c r="AG15" s="29"/>
      <c r="AH15" s="438"/>
      <c r="AI15" s="869"/>
      <c r="AJ15" s="29"/>
      <c r="AK15" s="109"/>
      <c r="AM15" s="66" t="s">
        <v>289</v>
      </c>
      <c r="AN15" s="65">
        <f>AU18</f>
        <v>7071.6</v>
      </c>
      <c r="AP15" s="108"/>
      <c r="AQ15" s="30"/>
      <c r="AR15" s="112"/>
      <c r="AS15" s="29"/>
      <c r="AT15" s="438"/>
      <c r="AU15" s="869"/>
      <c r="AV15" s="30"/>
      <c r="AW15" s="109"/>
      <c r="AY15" s="66" t="s">
        <v>289</v>
      </c>
      <c r="AZ15" s="65">
        <f>BG18</f>
        <v>8375.65</v>
      </c>
      <c r="BB15" s="108"/>
      <c r="BC15" s="30"/>
      <c r="BD15" s="194"/>
      <c r="BE15" s="193"/>
      <c r="BF15" s="275"/>
      <c r="BG15" s="906"/>
      <c r="BH15" s="30"/>
      <c r="BI15" s="109"/>
    </row>
    <row r="16" spans="1:61" ht="12.75" customHeight="1">
      <c r="A16" s="185"/>
      <c r="B16" s="66" t="s">
        <v>867</v>
      </c>
      <c r="C16" s="65">
        <f>TAB05_PD08</f>
        <v>9895.35</v>
      </c>
      <c r="E16" s="108"/>
      <c r="F16" s="1455"/>
      <c r="G16" s="515" t="s">
        <v>1327</v>
      </c>
      <c r="H16" s="1475"/>
      <c r="I16" s="109"/>
      <c r="K16" s="66" t="s">
        <v>863</v>
      </c>
      <c r="L16" s="65">
        <f>W24</f>
        <v>9895.35</v>
      </c>
      <c r="M16" s="66" t="s">
        <v>271</v>
      </c>
      <c r="N16" s="65">
        <v>922.55</v>
      </c>
      <c r="P16" s="86"/>
      <c r="Q16" s="87"/>
      <c r="S16" s="108"/>
      <c r="T16" s="1454" t="s">
        <v>1411</v>
      </c>
      <c r="U16" s="489" t="s">
        <v>838</v>
      </c>
      <c r="V16" s="1456">
        <v>0.85</v>
      </c>
      <c r="W16" s="1458">
        <v>8411.04</v>
      </c>
      <c r="X16" s="109"/>
      <c r="AA16" s="66" t="s">
        <v>60</v>
      </c>
      <c r="AB16" s="65">
        <f>AI20</f>
        <v>9494.12</v>
      </c>
      <c r="AD16" s="108"/>
      <c r="AE16" s="30"/>
      <c r="AF16" s="978" t="s">
        <v>1410</v>
      </c>
      <c r="AG16" s="979" t="s">
        <v>1394</v>
      </c>
      <c r="AH16" s="980">
        <v>0.85</v>
      </c>
      <c r="AI16" s="981">
        <f>VLOOKUP("TV DEFENSORES 02 40H",RHE,10,FALSE)</f>
        <v>8494.74</v>
      </c>
      <c r="AJ16" s="981">
        <f>VLOOKUP("TV DEFENSORES 02 40H",RHE,12,FALSE)</f>
        <v>21537.63</v>
      </c>
      <c r="AK16" s="109"/>
      <c r="AM16" s="66" t="s">
        <v>60</v>
      </c>
      <c r="AN16" s="65">
        <f>AU20</f>
        <v>7857.3</v>
      </c>
      <c r="AP16" s="108"/>
      <c r="AQ16" s="30"/>
      <c r="AR16" s="441" t="s">
        <v>1410</v>
      </c>
      <c r="AS16" s="206" t="s">
        <v>1394</v>
      </c>
      <c r="AT16" s="444">
        <v>0.85</v>
      </c>
      <c r="AU16" s="903">
        <f>VLOOKUP("TV PGE PROCURADOR 03 40H",RHE,10,FALSE)</f>
        <v>6678.8</v>
      </c>
      <c r="AV16" s="903">
        <f>VLOOKUP("TV PGE PROCURADOR 03 40H",RHE,14,FALSE)</f>
        <v>20512.03</v>
      </c>
      <c r="AW16" s="109"/>
      <c r="AY16" s="66" t="s">
        <v>60</v>
      </c>
      <c r="AZ16" s="65">
        <f>BG20</f>
        <v>8840.95</v>
      </c>
      <c r="BB16" s="108"/>
      <c r="BC16" s="30"/>
      <c r="BD16" s="145" t="s">
        <v>1410</v>
      </c>
      <c r="BE16" s="53" t="s">
        <v>1394</v>
      </c>
      <c r="BF16" s="273">
        <v>0.85</v>
      </c>
      <c r="BG16" s="907">
        <v>7910.32</v>
      </c>
      <c r="BH16" s="30"/>
      <c r="BI16" s="109"/>
    </row>
    <row r="17" spans="1:61" ht="12.75" thickBot="1">
      <c r="A17" s="185"/>
      <c r="B17" s="66" t="s">
        <v>868</v>
      </c>
      <c r="C17" s="65">
        <f>TAB05_PD09</f>
        <v>7421.51</v>
      </c>
      <c r="E17" s="108"/>
      <c r="F17" s="112"/>
      <c r="G17" s="29"/>
      <c r="H17" s="864"/>
      <c r="I17" s="109"/>
      <c r="K17" s="66" t="s">
        <v>865</v>
      </c>
      <c r="L17" s="65">
        <f>W26</f>
        <v>9895.35</v>
      </c>
      <c r="M17" s="66" t="s">
        <v>272</v>
      </c>
      <c r="N17" s="65">
        <v>1026.08</v>
      </c>
      <c r="P17" s="86"/>
      <c r="Q17" s="87"/>
      <c r="S17" s="108"/>
      <c r="T17" s="1455"/>
      <c r="U17" s="515" t="s">
        <v>836</v>
      </c>
      <c r="V17" s="1457"/>
      <c r="W17" s="1459"/>
      <c r="X17" s="109"/>
      <c r="AA17" s="66" t="s">
        <v>63</v>
      </c>
      <c r="AB17" s="140">
        <f>AI22</f>
        <v>9993.82</v>
      </c>
      <c r="AD17" s="108"/>
      <c r="AE17" s="30"/>
      <c r="AF17" s="112"/>
      <c r="AG17" s="29"/>
      <c r="AH17" s="438"/>
      <c r="AI17" s="869"/>
      <c r="AJ17" s="869"/>
      <c r="AK17" s="109"/>
      <c r="AM17" s="66" t="s">
        <v>63</v>
      </c>
      <c r="AN17" s="140">
        <f>AU22</f>
        <v>7857.3</v>
      </c>
      <c r="AP17" s="108"/>
      <c r="AQ17" s="30"/>
      <c r="AR17" s="112"/>
      <c r="AS17" s="29"/>
      <c r="AT17" s="438"/>
      <c r="AU17" s="869"/>
      <c r="AV17" s="30"/>
      <c r="AW17" s="109"/>
      <c r="AY17" s="67" t="s">
        <v>63</v>
      </c>
      <c r="AZ17" s="134">
        <f>BG22</f>
        <v>9306.27</v>
      </c>
      <c r="BB17" s="108"/>
      <c r="BC17" s="30"/>
      <c r="BD17" s="194"/>
      <c r="BE17" s="193"/>
      <c r="BF17" s="275"/>
      <c r="BG17" s="906"/>
      <c r="BH17" s="30"/>
      <c r="BI17" s="109"/>
    </row>
    <row r="18" spans="1:61" ht="12.75" thickBot="1">
      <c r="A18" s="185"/>
      <c r="B18" s="67" t="s">
        <v>869</v>
      </c>
      <c r="C18" s="134">
        <f>TAB05_PD10</f>
        <v>9994.3</v>
      </c>
      <c r="E18" s="108"/>
      <c r="F18" s="512" t="s">
        <v>1414</v>
      </c>
      <c r="G18" s="513" t="s">
        <v>1324</v>
      </c>
      <c r="H18" s="865">
        <v>8905.81</v>
      </c>
      <c r="I18" s="109"/>
      <c r="K18" s="66" t="s">
        <v>867</v>
      </c>
      <c r="L18" s="65">
        <f>W28</f>
        <v>11564.76</v>
      </c>
      <c r="M18" s="66" t="s">
        <v>273</v>
      </c>
      <c r="N18" s="65">
        <v>1140.29</v>
      </c>
      <c r="P18" s="86"/>
      <c r="Q18" s="87"/>
      <c r="S18" s="108"/>
      <c r="T18" s="112"/>
      <c r="U18" s="29"/>
      <c r="V18" s="525"/>
      <c r="W18" s="866" t="s">
        <v>1079</v>
      </c>
      <c r="X18" s="109"/>
      <c r="AA18" s="66" t="s">
        <v>869</v>
      </c>
      <c r="AB18" s="140">
        <f>AI24</f>
        <v>10725.9</v>
      </c>
      <c r="AD18" s="108"/>
      <c r="AE18" s="30"/>
      <c r="AF18" s="978" t="s">
        <v>1411</v>
      </c>
      <c r="AG18" s="979" t="s">
        <v>1395</v>
      </c>
      <c r="AH18" s="980">
        <v>0.9</v>
      </c>
      <c r="AI18" s="981">
        <f>VLOOKUP("TV DEFENSORES 03 40H",RHE,10,FALSE)</f>
        <v>8994.44</v>
      </c>
      <c r="AJ18" s="981">
        <f>VLOOKUP("TV DEFENSORES 03 40H",RHE,12,FALSE)</f>
        <v>23930.71</v>
      </c>
      <c r="AK18" s="109"/>
      <c r="AM18" s="66" t="s">
        <v>1421</v>
      </c>
      <c r="AN18" s="65">
        <f>AV14</f>
        <v>18460.82</v>
      </c>
      <c r="AP18" s="108"/>
      <c r="AQ18" s="30"/>
      <c r="AR18" s="441" t="s">
        <v>1411</v>
      </c>
      <c r="AS18" s="206" t="s">
        <v>1395</v>
      </c>
      <c r="AT18" s="444">
        <v>0.9</v>
      </c>
      <c r="AU18" s="903">
        <f>VLOOKUP("TV PGE PROCURADOR 04 40H",RHE,10,FALSE)</f>
        <v>7071.6</v>
      </c>
      <c r="AV18" s="903">
        <f>VLOOKUP("TV PGE PROCURADOR 04 40H",RHE,14,FALSE)</f>
        <v>22791.15</v>
      </c>
      <c r="AW18" s="109"/>
      <c r="AY18" s="86"/>
      <c r="AZ18" s="87"/>
      <c r="BB18" s="108"/>
      <c r="BC18" s="30"/>
      <c r="BD18" s="145" t="s">
        <v>1411</v>
      </c>
      <c r="BE18" s="53" t="s">
        <v>1395</v>
      </c>
      <c r="BF18" s="273">
        <v>0.9</v>
      </c>
      <c r="BG18" s="907">
        <v>8375.65</v>
      </c>
      <c r="BH18" s="29"/>
      <c r="BI18" s="109"/>
    </row>
    <row r="19" spans="1:61" ht="12.75" customHeight="1">
      <c r="A19" s="185"/>
      <c r="E19" s="108"/>
      <c r="F19" s="29"/>
      <c r="G19" s="29"/>
      <c r="H19" s="864"/>
      <c r="I19" s="109"/>
      <c r="K19" s="66" t="s">
        <v>869</v>
      </c>
      <c r="L19" s="140">
        <f>W35</f>
        <v>1935.17</v>
      </c>
      <c r="M19" s="66" t="s">
        <v>813</v>
      </c>
      <c r="N19" s="65">
        <v>1174.18</v>
      </c>
      <c r="S19" s="108"/>
      <c r="T19" s="1454" t="s">
        <v>1412</v>
      </c>
      <c r="U19" s="489" t="s">
        <v>839</v>
      </c>
      <c r="V19" s="1456">
        <v>0.9</v>
      </c>
      <c r="W19" s="1458">
        <v>8905.81</v>
      </c>
      <c r="X19" s="109"/>
      <c r="AA19" s="66" t="s">
        <v>1421</v>
      </c>
      <c r="AB19" s="65">
        <f>AJ14</f>
        <v>19383.86</v>
      </c>
      <c r="AD19" s="108"/>
      <c r="AE19" s="30"/>
      <c r="AF19" s="112"/>
      <c r="AG19" s="29"/>
      <c r="AH19" s="438"/>
      <c r="AI19" s="869"/>
      <c r="AJ19" s="869"/>
      <c r="AK19" s="109"/>
      <c r="AM19" s="66" t="s">
        <v>1422</v>
      </c>
      <c r="AN19" s="65">
        <f>AV16</f>
        <v>20512.03</v>
      </c>
      <c r="AP19" s="108"/>
      <c r="AQ19" s="30"/>
      <c r="AR19" s="112"/>
      <c r="AS19" s="29"/>
      <c r="AT19" s="438"/>
      <c r="AU19" s="869"/>
      <c r="AV19" s="29"/>
      <c r="AW19" s="109"/>
      <c r="BB19" s="108"/>
      <c r="BC19" s="30"/>
      <c r="BD19" s="194"/>
      <c r="BE19" s="193"/>
      <c r="BF19" s="275"/>
      <c r="BG19" s="906"/>
      <c r="BH19" s="29"/>
      <c r="BI19" s="109"/>
    </row>
    <row r="20" spans="1:61" ht="12">
      <c r="A20" s="185"/>
      <c r="E20" s="108"/>
      <c r="F20" s="1454" t="s">
        <v>1415</v>
      </c>
      <c r="G20" s="489" t="s">
        <v>1328</v>
      </c>
      <c r="H20" s="1476">
        <v>9400.58</v>
      </c>
      <c r="I20" s="109"/>
      <c r="K20" s="66" t="s">
        <v>708</v>
      </c>
      <c r="L20" s="140">
        <f aca="true" t="shared" si="0" ref="L20:L43">W36</f>
        <v>1977.56</v>
      </c>
      <c r="M20" s="66" t="s">
        <v>814</v>
      </c>
      <c r="N20" s="65">
        <v>1284.82</v>
      </c>
      <c r="S20" s="108"/>
      <c r="T20" s="1455"/>
      <c r="U20" s="515" t="s">
        <v>836</v>
      </c>
      <c r="V20" s="1457"/>
      <c r="W20" s="1459"/>
      <c r="X20" s="109"/>
      <c r="AA20" s="66" t="s">
        <v>1422</v>
      </c>
      <c r="AB20" s="65">
        <f>AJ16</f>
        <v>21537.63</v>
      </c>
      <c r="AD20" s="108"/>
      <c r="AE20" s="30"/>
      <c r="AF20" s="978" t="s">
        <v>1412</v>
      </c>
      <c r="AG20" s="979" t="s">
        <v>905</v>
      </c>
      <c r="AH20" s="980">
        <v>1</v>
      </c>
      <c r="AI20" s="981">
        <f>VLOOKUP("TV DEFENSORES 04 40H",RHE,10,FALSE)</f>
        <v>9494.12</v>
      </c>
      <c r="AJ20" s="981">
        <f>VLOOKUP("TV DEFENSORES 04 40H",RHE,12,FALSE)</f>
        <v>26589.68</v>
      </c>
      <c r="AK20" s="109"/>
      <c r="AM20" s="66" t="s">
        <v>1423</v>
      </c>
      <c r="AN20" s="65">
        <f>AV18</f>
        <v>22791.15</v>
      </c>
      <c r="AP20" s="108"/>
      <c r="AQ20" s="30"/>
      <c r="AR20" s="441" t="s">
        <v>1412</v>
      </c>
      <c r="AS20" s="206" t="s">
        <v>1397</v>
      </c>
      <c r="AT20" s="444">
        <v>1</v>
      </c>
      <c r="AU20" s="903">
        <f>VLOOKUP("TV PGE PROCURADOR 05 40H",RHE,10,FALSE)</f>
        <v>7857.3</v>
      </c>
      <c r="AV20" s="903">
        <f>VLOOKUP("TV PGE PROCURADOR 05 40H",RHE,14,FALSE)</f>
        <v>25323.51</v>
      </c>
      <c r="AW20" s="109"/>
      <c r="BB20" s="108"/>
      <c r="BC20" s="30"/>
      <c r="BD20" s="145" t="s">
        <v>1412</v>
      </c>
      <c r="BE20" s="53" t="s">
        <v>1397</v>
      </c>
      <c r="BF20" s="273">
        <v>0.95</v>
      </c>
      <c r="BG20" s="907">
        <v>8840.95</v>
      </c>
      <c r="BH20" s="29"/>
      <c r="BI20" s="109"/>
    </row>
    <row r="21" spans="1:61" ht="12.75" customHeight="1">
      <c r="A21" s="185"/>
      <c r="B21" s="86"/>
      <c r="C21" s="87"/>
      <c r="E21" s="108"/>
      <c r="F21" s="1455"/>
      <c r="G21" s="515" t="s">
        <v>1329</v>
      </c>
      <c r="H21" s="1475"/>
      <c r="I21" s="109"/>
      <c r="K21" s="66" t="s">
        <v>709</v>
      </c>
      <c r="L21" s="140">
        <f t="shared" si="0"/>
        <v>2071.07</v>
      </c>
      <c r="M21" s="66" t="s">
        <v>815</v>
      </c>
      <c r="N21" s="65">
        <v>1406.18</v>
      </c>
      <c r="P21" s="86"/>
      <c r="Q21" s="87"/>
      <c r="S21" s="108"/>
      <c r="T21" s="112"/>
      <c r="U21" s="29"/>
      <c r="V21" s="525"/>
      <c r="W21" s="866" t="s">
        <v>1079</v>
      </c>
      <c r="X21" s="109"/>
      <c r="AA21" s="66" t="s">
        <v>1423</v>
      </c>
      <c r="AB21" s="65">
        <f>AJ18</f>
        <v>23930.71</v>
      </c>
      <c r="AD21" s="108"/>
      <c r="AE21" s="30"/>
      <c r="AF21" s="112"/>
      <c r="AG21" s="29"/>
      <c r="AH21" s="438"/>
      <c r="AI21" s="869"/>
      <c r="AJ21" s="869"/>
      <c r="AK21" s="109"/>
      <c r="AM21" s="66" t="s">
        <v>1424</v>
      </c>
      <c r="AN21" s="65">
        <f>AV20</f>
        <v>25323.51</v>
      </c>
      <c r="AP21" s="108"/>
      <c r="AQ21" s="30"/>
      <c r="AR21" s="112"/>
      <c r="AS21" s="29"/>
      <c r="AT21" s="438"/>
      <c r="AU21" s="869"/>
      <c r="AV21" s="29"/>
      <c r="AW21" s="109"/>
      <c r="AY21" s="86"/>
      <c r="AZ21" s="87"/>
      <c r="BB21" s="108"/>
      <c r="BC21" s="30"/>
      <c r="BD21" s="194"/>
      <c r="BE21" s="193"/>
      <c r="BF21" s="275"/>
      <c r="BG21" s="906"/>
      <c r="BH21" s="29"/>
      <c r="BI21" s="109"/>
    </row>
    <row r="22" spans="1:61" ht="12.75" thickBot="1">
      <c r="A22" s="185"/>
      <c r="B22" s="86"/>
      <c r="C22" s="87"/>
      <c r="E22" s="108"/>
      <c r="F22" s="29"/>
      <c r="G22" s="29"/>
      <c r="H22" s="864"/>
      <c r="I22" s="109"/>
      <c r="K22" s="66" t="s">
        <v>84</v>
      </c>
      <c r="L22" s="140">
        <f t="shared" si="0"/>
        <v>2122.93</v>
      </c>
      <c r="M22" s="66" t="s">
        <v>816</v>
      </c>
      <c r="N22" s="65">
        <v>392.12</v>
      </c>
      <c r="P22" s="86"/>
      <c r="Q22" s="87"/>
      <c r="S22" s="108"/>
      <c r="T22" s="512" t="s">
        <v>1413</v>
      </c>
      <c r="U22" s="513" t="s">
        <v>68</v>
      </c>
      <c r="V22" s="527">
        <v>1</v>
      </c>
      <c r="W22" s="865">
        <v>9895.35</v>
      </c>
      <c r="X22" s="270" t="s">
        <v>861</v>
      </c>
      <c r="AA22" s="67" t="s">
        <v>1424</v>
      </c>
      <c r="AB22" s="83">
        <f>AJ20</f>
        <v>26589.68</v>
      </c>
      <c r="AD22" s="108"/>
      <c r="AE22" s="30"/>
      <c r="AF22" s="978" t="s">
        <v>1413</v>
      </c>
      <c r="AG22" s="979" t="s">
        <v>1396</v>
      </c>
      <c r="AH22" s="980">
        <v>1</v>
      </c>
      <c r="AI22" s="981">
        <f>VLOOKUP("TV DEFENSORES 05 40H",RHE,10,FALSE)</f>
        <v>9993.82</v>
      </c>
      <c r="AJ22" s="981"/>
      <c r="AK22" s="109"/>
      <c r="AM22" s="67" t="s">
        <v>1425</v>
      </c>
      <c r="AN22" s="134">
        <f>AV22</f>
        <v>25323.51</v>
      </c>
      <c r="AP22" s="108"/>
      <c r="AQ22" s="30"/>
      <c r="AR22" s="442" t="s">
        <v>1413</v>
      </c>
      <c r="AS22" s="439" t="s">
        <v>1398</v>
      </c>
      <c r="AT22" s="445">
        <v>1</v>
      </c>
      <c r="AU22" s="904">
        <f>VLOOKUP("TV PGE PROCURADOR 05 40H",RHE,10,FALSE)</f>
        <v>7857.3</v>
      </c>
      <c r="AV22" s="904">
        <f>VLOOKUP("TV PGE PROCURADOR 05 40H",RHE,14,FALSE)</f>
        <v>25323.51</v>
      </c>
      <c r="AW22" s="109"/>
      <c r="AY22" s="86"/>
      <c r="AZ22" s="87"/>
      <c r="BB22" s="108"/>
      <c r="BC22" s="30"/>
      <c r="BD22" s="146" t="s">
        <v>1413</v>
      </c>
      <c r="BE22" s="54" t="s">
        <v>1398</v>
      </c>
      <c r="BF22" s="274">
        <v>1</v>
      </c>
      <c r="BG22" s="908">
        <v>9306.27</v>
      </c>
      <c r="BH22" s="29"/>
      <c r="BI22" s="109"/>
    </row>
    <row r="23" spans="1:61" ht="12">
      <c r="A23" s="185"/>
      <c r="B23" s="86"/>
      <c r="C23" s="87"/>
      <c r="E23" s="108"/>
      <c r="F23" s="512" t="s">
        <v>1416</v>
      </c>
      <c r="G23" s="513" t="s">
        <v>1331</v>
      </c>
      <c r="H23" s="865">
        <v>9895.35</v>
      </c>
      <c r="I23" s="109"/>
      <c r="K23" s="66" t="s">
        <v>85</v>
      </c>
      <c r="L23" s="140">
        <f t="shared" si="0"/>
        <v>2178.31</v>
      </c>
      <c r="M23" s="66" t="s">
        <v>817</v>
      </c>
      <c r="N23" s="65">
        <v>420.23</v>
      </c>
      <c r="P23" s="86"/>
      <c r="Q23" s="87"/>
      <c r="S23" s="108"/>
      <c r="T23" s="112"/>
      <c r="U23" s="29"/>
      <c r="V23" s="525"/>
      <c r="W23" s="864"/>
      <c r="X23" s="109"/>
      <c r="AA23" s="86"/>
      <c r="AB23" s="87"/>
      <c r="AD23" s="108"/>
      <c r="AE23" s="30"/>
      <c r="AF23" s="112"/>
      <c r="AG23" s="29"/>
      <c r="AH23" s="112"/>
      <c r="AI23" s="869"/>
      <c r="AJ23" s="29"/>
      <c r="AK23" s="109"/>
      <c r="AM23" s="86"/>
      <c r="AN23" s="87"/>
      <c r="AP23" s="108"/>
      <c r="AQ23" s="30"/>
      <c r="AR23" s="30"/>
      <c r="AS23" s="29"/>
      <c r="AT23" s="30"/>
      <c r="AU23" s="29"/>
      <c r="AV23" s="29"/>
      <c r="AW23" s="109"/>
      <c r="AY23" s="86"/>
      <c r="AZ23" s="87"/>
      <c r="BB23" s="108"/>
      <c r="BC23" s="30"/>
      <c r="BD23" s="30"/>
      <c r="BE23" s="29"/>
      <c r="BF23" s="30"/>
      <c r="BG23" s="29"/>
      <c r="BH23" s="29"/>
      <c r="BI23" s="109"/>
    </row>
    <row r="24" spans="1:61" ht="12.75" customHeight="1">
      <c r="A24" s="185"/>
      <c r="B24" s="86"/>
      <c r="C24" s="87"/>
      <c r="E24" s="108"/>
      <c r="F24" s="112"/>
      <c r="G24" s="29"/>
      <c r="H24" s="866" t="s">
        <v>1079</v>
      </c>
      <c r="I24" s="109"/>
      <c r="K24" s="66" t="s">
        <v>715</v>
      </c>
      <c r="L24" s="140">
        <f t="shared" si="0"/>
        <v>2394.83</v>
      </c>
      <c r="M24" s="66" t="s">
        <v>818</v>
      </c>
      <c r="N24" s="65">
        <v>480.46</v>
      </c>
      <c r="P24" s="86"/>
      <c r="Q24" s="87"/>
      <c r="S24" s="108"/>
      <c r="T24" s="512" t="s">
        <v>1414</v>
      </c>
      <c r="U24" s="513" t="s">
        <v>840</v>
      </c>
      <c r="V24" s="527">
        <v>1</v>
      </c>
      <c r="W24" s="865">
        <v>9895.35</v>
      </c>
      <c r="X24" s="109"/>
      <c r="AA24" s="86"/>
      <c r="AB24" s="87"/>
      <c r="AD24" s="108"/>
      <c r="AE24" s="30"/>
      <c r="AF24" s="982" t="s">
        <v>1292</v>
      </c>
      <c r="AG24" s="983" t="s">
        <v>361</v>
      </c>
      <c r="AH24" s="984">
        <v>0.95</v>
      </c>
      <c r="AI24" s="985">
        <f>VLOOKUP("TV ESP SARH PROC 01 40H",RHE,10,FALSE)</f>
        <v>10725.9</v>
      </c>
      <c r="AJ24" s="985"/>
      <c r="AK24" s="109"/>
      <c r="AM24" s="86"/>
      <c r="AN24" s="87"/>
      <c r="AP24" s="108"/>
      <c r="AQ24" s="30"/>
      <c r="AR24" s="30"/>
      <c r="AS24" s="29"/>
      <c r="AT24" s="30"/>
      <c r="AU24" s="29"/>
      <c r="AV24" s="29"/>
      <c r="AW24" s="109"/>
      <c r="AY24" s="86"/>
      <c r="AZ24" s="87"/>
      <c r="BB24" s="108"/>
      <c r="BC24" s="30"/>
      <c r="BD24" s="30"/>
      <c r="BE24" s="29"/>
      <c r="BF24" s="30"/>
      <c r="BG24" s="29"/>
      <c r="BH24" s="29"/>
      <c r="BI24" s="109"/>
    </row>
    <row r="25" spans="1:61" ht="12">
      <c r="A25" s="185"/>
      <c r="B25" s="86"/>
      <c r="C25" s="87"/>
      <c r="E25" s="108"/>
      <c r="F25" s="512" t="s">
        <v>1417</v>
      </c>
      <c r="G25" s="513" t="s">
        <v>1332</v>
      </c>
      <c r="H25" s="865">
        <v>7421.51</v>
      </c>
      <c r="I25" s="109"/>
      <c r="K25" s="66" t="s">
        <v>716</v>
      </c>
      <c r="L25" s="140">
        <f t="shared" si="0"/>
        <v>2514.32</v>
      </c>
      <c r="M25" s="66" t="s">
        <v>819</v>
      </c>
      <c r="N25" s="65">
        <v>515.25</v>
      </c>
      <c r="P25" s="86"/>
      <c r="Q25" s="87"/>
      <c r="S25" s="108"/>
      <c r="T25" s="170"/>
      <c r="U25" s="29"/>
      <c r="V25" s="525"/>
      <c r="W25" s="864"/>
      <c r="X25" s="109"/>
      <c r="AA25" s="86"/>
      <c r="AB25" s="87"/>
      <c r="AD25" s="108"/>
      <c r="AE25" s="30"/>
      <c r="AF25" s="112"/>
      <c r="AG25" s="29"/>
      <c r="AH25" s="112"/>
      <c r="AI25" s="29"/>
      <c r="AJ25" s="29"/>
      <c r="AK25" s="109"/>
      <c r="AM25" s="86"/>
      <c r="AN25" s="87"/>
      <c r="AP25" s="108"/>
      <c r="AQ25" s="30"/>
      <c r="AR25" s="30"/>
      <c r="AS25" s="29"/>
      <c r="AT25" s="30"/>
      <c r="AU25" s="29"/>
      <c r="AV25" s="29"/>
      <c r="AW25" s="109"/>
      <c r="AY25" s="86"/>
      <c r="AZ25" s="87"/>
      <c r="BB25" s="108"/>
      <c r="BC25" s="30"/>
      <c r="BD25" s="30"/>
      <c r="BE25" s="29"/>
      <c r="BF25" s="30"/>
      <c r="BG25" s="29"/>
      <c r="BH25" s="29"/>
      <c r="BI25" s="109"/>
    </row>
    <row r="26" spans="1:61" ht="12">
      <c r="A26" s="185"/>
      <c r="B26" s="86"/>
      <c r="C26" s="87"/>
      <c r="E26" s="108"/>
      <c r="F26" s="112"/>
      <c r="G26" s="29"/>
      <c r="H26" s="866" t="s">
        <v>1079</v>
      </c>
      <c r="I26" s="109"/>
      <c r="K26" s="66" t="s">
        <v>717</v>
      </c>
      <c r="L26" s="140">
        <f t="shared" si="0"/>
        <v>1315.06</v>
      </c>
      <c r="M26" s="66" t="s">
        <v>820</v>
      </c>
      <c r="N26" s="65">
        <v>550.05</v>
      </c>
      <c r="P26" s="86"/>
      <c r="Q26" s="87"/>
      <c r="S26" s="108"/>
      <c r="T26" s="512" t="s">
        <v>1415</v>
      </c>
      <c r="U26" s="513" t="s">
        <v>841</v>
      </c>
      <c r="V26" s="527">
        <v>1</v>
      </c>
      <c r="W26" s="865">
        <v>9895.35</v>
      </c>
      <c r="X26" s="109"/>
      <c r="AA26" s="86"/>
      <c r="AB26" s="87"/>
      <c r="AD26" s="108"/>
      <c r="AE26" s="30"/>
      <c r="AF26" s="112"/>
      <c r="AG26" s="29"/>
      <c r="AH26" s="112"/>
      <c r="AI26" s="29"/>
      <c r="AJ26" s="29"/>
      <c r="AK26" s="109"/>
      <c r="AM26" s="86"/>
      <c r="AN26" s="87"/>
      <c r="AP26" s="108"/>
      <c r="AQ26" s="30"/>
      <c r="AR26" s="30"/>
      <c r="AS26" s="29"/>
      <c r="AT26" s="30"/>
      <c r="AU26" s="29"/>
      <c r="AV26" s="29"/>
      <c r="AW26" s="109"/>
      <c r="AY26" s="86"/>
      <c r="AZ26" s="87"/>
      <c r="BB26" s="108"/>
      <c r="BC26" s="30"/>
      <c r="BD26" s="30"/>
      <c r="BE26" s="29"/>
      <c r="BF26" s="30"/>
      <c r="BG26" s="29"/>
      <c r="BH26" s="29"/>
      <c r="BI26" s="109"/>
    </row>
    <row r="27" spans="1:61" ht="12" customHeight="1">
      <c r="A27" s="185"/>
      <c r="B27" s="86"/>
      <c r="C27" s="87"/>
      <c r="E27" s="108"/>
      <c r="F27" s="526" t="s">
        <v>1292</v>
      </c>
      <c r="G27" s="487" t="s">
        <v>1330</v>
      </c>
      <c r="H27" s="867">
        <v>9994.3</v>
      </c>
      <c r="I27" s="109"/>
      <c r="K27" s="66" t="s">
        <v>718</v>
      </c>
      <c r="L27" s="140">
        <f t="shared" si="0"/>
        <v>2685.79</v>
      </c>
      <c r="M27" s="66" t="s">
        <v>821</v>
      </c>
      <c r="N27" s="65">
        <v>691.91</v>
      </c>
      <c r="P27" s="86"/>
      <c r="Q27" s="87"/>
      <c r="S27" s="108"/>
      <c r="T27" s="112"/>
      <c r="U27" s="29"/>
      <c r="V27" s="29"/>
      <c r="W27" s="29"/>
      <c r="X27" s="109"/>
      <c r="AA27" s="86"/>
      <c r="AB27" s="87"/>
      <c r="AD27" s="108"/>
      <c r="AE27" s="1398" t="s">
        <v>1399</v>
      </c>
      <c r="AF27" s="1399"/>
      <c r="AG27" s="1399"/>
      <c r="AH27" s="1399"/>
      <c r="AI27" s="1399"/>
      <c r="AJ27" s="1400"/>
      <c r="AK27" s="109"/>
      <c r="AM27" s="86"/>
      <c r="AN27" s="87"/>
      <c r="AP27" s="108"/>
      <c r="AQ27" s="1398" t="s">
        <v>1400</v>
      </c>
      <c r="AR27" s="1399"/>
      <c r="AS27" s="1399"/>
      <c r="AT27" s="1399"/>
      <c r="AU27" s="1399"/>
      <c r="AV27" s="1400"/>
      <c r="AW27" s="109"/>
      <c r="AY27" s="86"/>
      <c r="AZ27" s="87"/>
      <c r="BB27" s="108"/>
      <c r="BC27" s="1462" t="s">
        <v>1403</v>
      </c>
      <c r="BD27" s="1463"/>
      <c r="BE27" s="1463"/>
      <c r="BF27" s="1463"/>
      <c r="BG27" s="1463"/>
      <c r="BH27" s="1464"/>
      <c r="BI27" s="109"/>
    </row>
    <row r="28" spans="1:61" ht="12.75" customHeight="1">
      <c r="A28" s="185"/>
      <c r="B28" s="86"/>
      <c r="C28" s="87"/>
      <c r="E28" s="108"/>
      <c r="I28" s="109"/>
      <c r="K28" s="66" t="s">
        <v>719</v>
      </c>
      <c r="L28" s="140">
        <f t="shared" si="0"/>
        <v>2813.91</v>
      </c>
      <c r="M28" s="66" t="s">
        <v>822</v>
      </c>
      <c r="N28" s="65">
        <v>769.56</v>
      </c>
      <c r="P28" s="86"/>
      <c r="Q28" s="87"/>
      <c r="S28" s="108"/>
      <c r="T28" s="526" t="s">
        <v>1416</v>
      </c>
      <c r="U28" s="487" t="s">
        <v>842</v>
      </c>
      <c r="V28" s="487"/>
      <c r="W28" s="868">
        <f>VLOOKUP("TV GOVERNO 03 40H",RHE,10,FALSE)</f>
        <v>11564.76</v>
      </c>
      <c r="X28" s="109"/>
      <c r="AA28" s="86"/>
      <c r="AB28" s="87"/>
      <c r="AD28" s="108"/>
      <c r="AE28" s="1404"/>
      <c r="AF28" s="1405"/>
      <c r="AG28" s="1405"/>
      <c r="AH28" s="1405"/>
      <c r="AI28" s="1405"/>
      <c r="AJ28" s="1406"/>
      <c r="AK28" s="109"/>
      <c r="AM28" s="86"/>
      <c r="AN28" s="87"/>
      <c r="AP28" s="108"/>
      <c r="AQ28" s="1404"/>
      <c r="AR28" s="1405"/>
      <c r="AS28" s="1405"/>
      <c r="AT28" s="1405"/>
      <c r="AU28" s="1405"/>
      <c r="AV28" s="1406"/>
      <c r="AW28" s="109"/>
      <c r="AY28" s="86"/>
      <c r="AZ28" s="87"/>
      <c r="BB28" s="108"/>
      <c r="BC28" s="1465"/>
      <c r="BD28" s="1466"/>
      <c r="BE28" s="1466"/>
      <c r="BF28" s="1466"/>
      <c r="BG28" s="1466"/>
      <c r="BH28" s="1467"/>
      <c r="BI28" s="109"/>
    </row>
    <row r="29" spans="1:61" ht="12.75" customHeight="1">
      <c r="A29" s="185"/>
      <c r="B29" s="86"/>
      <c r="C29" s="87"/>
      <c r="E29" s="108"/>
      <c r="I29" s="109"/>
      <c r="K29" s="66" t="s">
        <v>720</v>
      </c>
      <c r="L29" s="140">
        <f t="shared" si="0"/>
        <v>2953.53</v>
      </c>
      <c r="M29" s="66" t="s">
        <v>823</v>
      </c>
      <c r="N29" s="65">
        <v>855.21</v>
      </c>
      <c r="P29" s="86"/>
      <c r="Q29" s="87"/>
      <c r="S29" s="108"/>
      <c r="X29" s="109"/>
      <c r="AA29" s="86"/>
      <c r="AB29" s="87"/>
      <c r="AD29" s="108"/>
      <c r="AE29" s="30"/>
      <c r="AF29" s="112"/>
      <c r="AG29" s="29"/>
      <c r="AH29" s="112"/>
      <c r="AI29" s="29"/>
      <c r="AJ29" s="29"/>
      <c r="AK29" s="109"/>
      <c r="AM29" s="86"/>
      <c r="AN29" s="87"/>
      <c r="AP29" s="108"/>
      <c r="AQ29" s="30"/>
      <c r="AR29" s="30"/>
      <c r="AS29" s="29"/>
      <c r="AT29" s="30"/>
      <c r="AU29" s="29"/>
      <c r="AV29" s="29"/>
      <c r="AW29" s="109"/>
      <c r="AY29" s="86"/>
      <c r="AZ29" s="87"/>
      <c r="BB29" s="108"/>
      <c r="BC29" s="29"/>
      <c r="BF29" s="30"/>
      <c r="BG29" s="29"/>
      <c r="BH29" s="29"/>
      <c r="BI29" s="109"/>
    </row>
    <row r="30" spans="1:61" ht="12">
      <c r="A30" s="185"/>
      <c r="B30" s="86"/>
      <c r="C30" s="87"/>
      <c r="E30" s="108"/>
      <c r="I30" s="109"/>
      <c r="K30" s="66" t="s">
        <v>870</v>
      </c>
      <c r="L30" s="140">
        <f t="shared" si="0"/>
        <v>1451.37</v>
      </c>
      <c r="M30" s="66" t="s">
        <v>824</v>
      </c>
      <c r="N30" s="65">
        <v>880.63</v>
      </c>
      <c r="P30" s="86"/>
      <c r="Q30" s="87"/>
      <c r="S30" s="108"/>
      <c r="X30" s="109"/>
      <c r="AA30" s="86"/>
      <c r="AB30" s="87"/>
      <c r="AD30" s="108"/>
      <c r="AE30" s="30"/>
      <c r="AF30" s="112"/>
      <c r="AG30" s="29"/>
      <c r="AH30" s="112"/>
      <c r="AI30" s="29"/>
      <c r="AJ30" s="29"/>
      <c r="AK30" s="109"/>
      <c r="AM30" s="86"/>
      <c r="AN30" s="87"/>
      <c r="AP30" s="108"/>
      <c r="AQ30" s="30"/>
      <c r="AR30" s="30"/>
      <c r="AS30" s="29"/>
      <c r="AT30" s="30"/>
      <c r="AU30" s="29"/>
      <c r="AV30" s="29"/>
      <c r="AW30" s="109"/>
      <c r="AY30" s="86"/>
      <c r="AZ30" s="87"/>
      <c r="BB30" s="108"/>
      <c r="BC30" s="30"/>
      <c r="BD30" s="30"/>
      <c r="BE30" s="29"/>
      <c r="BF30" s="30"/>
      <c r="BG30" s="29"/>
      <c r="BH30" s="29"/>
      <c r="BI30" s="109"/>
    </row>
    <row r="31" spans="1:61" ht="12.75" customHeight="1">
      <c r="A31" s="185"/>
      <c r="B31" s="86"/>
      <c r="C31" s="87"/>
      <c r="E31" s="108"/>
      <c r="F31" s="30"/>
      <c r="G31" s="29"/>
      <c r="H31" s="30" t="s">
        <v>1079</v>
      </c>
      <c r="I31" s="109"/>
      <c r="K31" s="66" t="s">
        <v>871</v>
      </c>
      <c r="L31" s="140">
        <f t="shared" si="0"/>
        <v>1483.17</v>
      </c>
      <c r="M31" s="66" t="s">
        <v>825</v>
      </c>
      <c r="N31" s="65">
        <v>963.61</v>
      </c>
      <c r="P31" s="86"/>
      <c r="Q31" s="87"/>
      <c r="S31" s="108"/>
      <c r="T31" s="1184" t="s">
        <v>843</v>
      </c>
      <c r="U31" s="1185"/>
      <c r="V31" s="1185"/>
      <c r="W31" s="1186"/>
      <c r="X31" s="109"/>
      <c r="AA31" s="86"/>
      <c r="AB31" s="87"/>
      <c r="AD31" s="108"/>
      <c r="AE31" s="112"/>
      <c r="AF31" s="112"/>
      <c r="AG31" s="112"/>
      <c r="AH31" s="112"/>
      <c r="AI31" s="112"/>
      <c r="AJ31" s="112"/>
      <c r="AK31" s="109"/>
      <c r="AM31" s="86"/>
      <c r="AN31" s="87"/>
      <c r="AP31" s="108"/>
      <c r="AQ31" s="1339" t="s">
        <v>540</v>
      </c>
      <c r="AR31" s="1340"/>
      <c r="AS31" s="1340"/>
      <c r="AT31" s="1340"/>
      <c r="AU31" s="1340"/>
      <c r="AV31" s="1341"/>
      <c r="AW31" s="109"/>
      <c r="AY31" s="86"/>
      <c r="AZ31" s="87"/>
      <c r="BB31" s="108"/>
      <c r="BC31" s="30"/>
      <c r="BD31" s="30"/>
      <c r="BF31" s="30"/>
      <c r="BG31" s="29"/>
      <c r="BH31" s="29"/>
      <c r="BI31" s="109"/>
    </row>
    <row r="32" spans="1:61" ht="12">
      <c r="A32" s="185"/>
      <c r="B32" s="86"/>
      <c r="C32" s="87"/>
      <c r="E32" s="108"/>
      <c r="F32" s="30"/>
      <c r="G32" s="29"/>
      <c r="H32" s="30" t="s">
        <v>1079</v>
      </c>
      <c r="I32" s="109"/>
      <c r="K32" s="66" t="s">
        <v>879</v>
      </c>
      <c r="L32" s="140">
        <f t="shared" si="0"/>
        <v>1553.3</v>
      </c>
      <c r="M32" s="66" t="s">
        <v>826</v>
      </c>
      <c r="N32" s="65">
        <v>1054.63</v>
      </c>
      <c r="P32" s="86"/>
      <c r="Q32" s="87"/>
      <c r="S32" s="108"/>
      <c r="X32" s="109"/>
      <c r="AA32" s="86"/>
      <c r="AB32" s="87"/>
      <c r="AD32" s="108"/>
      <c r="AE32" s="112"/>
      <c r="AF32" s="112"/>
      <c r="AG32" s="112"/>
      <c r="AH32" s="112"/>
      <c r="AI32" s="112"/>
      <c r="AJ32" s="112"/>
      <c r="AK32" s="109"/>
      <c r="AM32" s="86"/>
      <c r="AN32" s="87"/>
      <c r="AP32" s="108"/>
      <c r="AQ32" s="1342"/>
      <c r="AR32" s="1343"/>
      <c r="AS32" s="1343"/>
      <c r="AT32" s="1343"/>
      <c r="AU32" s="1343"/>
      <c r="AV32" s="1344"/>
      <c r="AW32" s="109"/>
      <c r="AY32" s="86"/>
      <c r="AZ32" s="87"/>
      <c r="BB32" s="108"/>
      <c r="BC32" s="30"/>
      <c r="BD32" s="30"/>
      <c r="BF32" s="30"/>
      <c r="BG32" s="29"/>
      <c r="BH32" s="29"/>
      <c r="BI32" s="109"/>
    </row>
    <row r="33" spans="1:61" ht="12">
      <c r="A33" s="185"/>
      <c r="B33" s="86"/>
      <c r="C33" s="87"/>
      <c r="E33" s="108"/>
      <c r="F33" s="30"/>
      <c r="I33" s="109"/>
      <c r="K33" s="66" t="s">
        <v>880</v>
      </c>
      <c r="L33" s="140">
        <f t="shared" si="0"/>
        <v>1592.19</v>
      </c>
      <c r="M33" s="66" t="s">
        <v>827</v>
      </c>
      <c r="N33" s="65">
        <v>1971.88</v>
      </c>
      <c r="P33" s="86"/>
      <c r="Q33" s="87"/>
      <c r="S33" s="108"/>
      <c r="T33" s="110" t="s">
        <v>721</v>
      </c>
      <c r="U33" s="110" t="s">
        <v>227</v>
      </c>
      <c r="V33" s="110" t="s">
        <v>776</v>
      </c>
      <c r="W33" s="40" t="s">
        <v>1408</v>
      </c>
      <c r="X33" s="109"/>
      <c r="AA33" s="86"/>
      <c r="AB33" s="87"/>
      <c r="AD33" s="108"/>
      <c r="AE33" s="30"/>
      <c r="AF33" s="112"/>
      <c r="AG33" s="29"/>
      <c r="AH33" s="112"/>
      <c r="AI33" s="29"/>
      <c r="AJ33" s="29"/>
      <c r="AK33" s="109"/>
      <c r="AM33" s="86"/>
      <c r="AN33" s="87"/>
      <c r="AP33" s="108"/>
      <c r="AQ33" s="30"/>
      <c r="AR33" s="30"/>
      <c r="AS33" s="29"/>
      <c r="AT33" s="30"/>
      <c r="AU33" s="29"/>
      <c r="AV33" s="29"/>
      <c r="AW33" s="109"/>
      <c r="AY33" s="86"/>
      <c r="AZ33" s="87"/>
      <c r="BB33" s="108"/>
      <c r="BC33" s="30"/>
      <c r="BD33" s="30"/>
      <c r="BE33" s="29"/>
      <c r="BF33" s="30"/>
      <c r="BG33" s="29"/>
      <c r="BH33" s="29"/>
      <c r="BI33" s="109"/>
    </row>
    <row r="34" spans="1:61" ht="12">
      <c r="A34" s="185"/>
      <c r="B34" s="86"/>
      <c r="C34" s="87"/>
      <c r="E34" s="108"/>
      <c r="F34" s="30"/>
      <c r="G34" s="29"/>
      <c r="H34" s="30" t="s">
        <v>1079</v>
      </c>
      <c r="I34" s="109"/>
      <c r="K34" s="66" t="s">
        <v>804</v>
      </c>
      <c r="L34" s="140">
        <f t="shared" si="0"/>
        <v>1633.73</v>
      </c>
      <c r="M34" s="66" t="s">
        <v>800</v>
      </c>
      <c r="N34" s="65">
        <v>1478.91</v>
      </c>
      <c r="P34" s="86"/>
      <c r="Q34" s="87"/>
      <c r="S34" s="108"/>
      <c r="T34" s="112"/>
      <c r="U34" s="29"/>
      <c r="V34" s="29"/>
      <c r="W34" s="30" t="s">
        <v>1079</v>
      </c>
      <c r="X34" s="109"/>
      <c r="AA34" s="86"/>
      <c r="AB34" s="87"/>
      <c r="AD34" s="108"/>
      <c r="AE34" s="30"/>
      <c r="AF34" s="112"/>
      <c r="AG34" s="29"/>
      <c r="AH34" s="112"/>
      <c r="AI34" s="29"/>
      <c r="AJ34" s="29"/>
      <c r="AK34" s="109"/>
      <c r="AM34" s="86"/>
      <c r="AN34" s="87"/>
      <c r="AP34" s="108"/>
      <c r="AQ34" s="30"/>
      <c r="AR34" s="30"/>
      <c r="AS34" s="29"/>
      <c r="AT34" s="30"/>
      <c r="AU34" s="29"/>
      <c r="AV34" s="29"/>
      <c r="AW34" s="109"/>
      <c r="AY34" s="86"/>
      <c r="AZ34" s="87"/>
      <c r="BB34" s="108"/>
      <c r="BC34" s="30"/>
      <c r="BD34" s="30"/>
      <c r="BE34" s="29"/>
      <c r="BF34" s="30"/>
      <c r="BG34" s="29"/>
      <c r="BH34" s="29"/>
      <c r="BI34" s="109"/>
    </row>
    <row r="35" spans="1:61" ht="12.75" thickBot="1">
      <c r="A35" s="185"/>
      <c r="B35" s="86"/>
      <c r="C35" s="87"/>
      <c r="E35" s="108"/>
      <c r="F35" s="30"/>
      <c r="G35" s="29"/>
      <c r="H35" s="29"/>
      <c r="I35" s="109"/>
      <c r="K35" s="66" t="s">
        <v>805</v>
      </c>
      <c r="L35" s="140">
        <f t="shared" si="0"/>
        <v>1796.12</v>
      </c>
      <c r="M35" s="67" t="s">
        <v>801</v>
      </c>
      <c r="N35" s="83">
        <v>985.94</v>
      </c>
      <c r="P35" s="86"/>
      <c r="Q35" s="87"/>
      <c r="S35" s="108"/>
      <c r="T35" s="459" t="s">
        <v>1292</v>
      </c>
      <c r="U35" s="460" t="s">
        <v>847</v>
      </c>
      <c r="V35" s="456">
        <v>40</v>
      </c>
      <c r="W35" s="805">
        <f>VLOOKUP("TV PGE SERVIDORES 01 40H",RHE,10,FALSE)</f>
        <v>1935.17</v>
      </c>
      <c r="X35" s="109"/>
      <c r="AA35" s="86"/>
      <c r="AB35" s="87"/>
      <c r="AD35" s="108"/>
      <c r="AE35" s="30"/>
      <c r="AF35" s="112"/>
      <c r="AG35" s="29"/>
      <c r="AH35" s="112"/>
      <c r="AI35" s="29"/>
      <c r="AJ35" s="29"/>
      <c r="AK35" s="71"/>
      <c r="AM35" s="86"/>
      <c r="AN35" s="87"/>
      <c r="AP35" s="108"/>
      <c r="AQ35" s="30"/>
      <c r="AR35" s="30"/>
      <c r="AW35" s="71"/>
      <c r="AY35" s="86"/>
      <c r="AZ35" s="87"/>
      <c r="BB35" s="108"/>
      <c r="BC35" s="30"/>
      <c r="BD35" s="30"/>
      <c r="BE35" s="29"/>
      <c r="BF35" s="30"/>
      <c r="BG35" s="29"/>
      <c r="BH35" s="29"/>
      <c r="BI35" s="71"/>
    </row>
    <row r="36" spans="1:61" ht="12">
      <c r="A36" s="185"/>
      <c r="B36" s="86"/>
      <c r="C36" s="87"/>
      <c r="E36" s="108"/>
      <c r="F36" s="30"/>
      <c r="I36" s="109"/>
      <c r="K36" s="66" t="s">
        <v>806</v>
      </c>
      <c r="L36" s="140">
        <f t="shared" si="0"/>
        <v>1885.74</v>
      </c>
      <c r="M36" s="189"/>
      <c r="N36" s="87"/>
      <c r="P36" s="86"/>
      <c r="Q36" s="87"/>
      <c r="S36" s="108"/>
      <c r="T36" s="461" t="s">
        <v>1293</v>
      </c>
      <c r="U36" s="462" t="s">
        <v>845</v>
      </c>
      <c r="V36" s="499">
        <v>40</v>
      </c>
      <c r="W36" s="806">
        <f>VLOOKUP("TV PGE SERVIDORES 02 40H",RHE,10,FALSE)</f>
        <v>1977.56</v>
      </c>
      <c r="X36" s="109"/>
      <c r="AA36" s="86"/>
      <c r="AB36" s="87"/>
      <c r="AD36" s="108"/>
      <c r="AE36" s="30"/>
      <c r="AF36" s="112"/>
      <c r="AG36" s="29"/>
      <c r="AH36" s="112"/>
      <c r="AI36" s="29"/>
      <c r="AJ36" s="29"/>
      <c r="AK36" s="71"/>
      <c r="AM36" s="86"/>
      <c r="AN36" s="87"/>
      <c r="AP36" s="108"/>
      <c r="AQ36" s="30"/>
      <c r="AR36" s="30"/>
      <c r="AW36" s="71"/>
      <c r="AY36" s="86"/>
      <c r="AZ36" s="87"/>
      <c r="BB36" s="108"/>
      <c r="BC36" s="30"/>
      <c r="BD36" s="30"/>
      <c r="BE36" s="29"/>
      <c r="BF36" s="30"/>
      <c r="BG36" s="29"/>
      <c r="BH36" s="29"/>
      <c r="BI36" s="71"/>
    </row>
    <row r="37" spans="1:61" ht="12">
      <c r="A37" s="185"/>
      <c r="B37" s="86"/>
      <c r="C37" s="87"/>
      <c r="E37" s="108"/>
      <c r="F37" s="30"/>
      <c r="G37" s="29"/>
      <c r="H37" s="30" t="s">
        <v>1079</v>
      </c>
      <c r="I37" s="109"/>
      <c r="K37" s="66" t="s">
        <v>807</v>
      </c>
      <c r="L37" s="140">
        <f t="shared" si="0"/>
        <v>986.29</v>
      </c>
      <c r="M37" s="189"/>
      <c r="N37" s="87"/>
      <c r="P37" s="86"/>
      <c r="Q37" s="87"/>
      <c r="S37" s="108"/>
      <c r="T37" s="461" t="s">
        <v>1294</v>
      </c>
      <c r="U37" s="462" t="s">
        <v>846</v>
      </c>
      <c r="V37" s="499">
        <v>40</v>
      </c>
      <c r="W37" s="806">
        <f>VLOOKUP("TV PGE SERVIDORES 03 40H",RHE,10,FALSE)</f>
        <v>2071.07</v>
      </c>
      <c r="X37" s="109"/>
      <c r="AA37" s="86"/>
      <c r="AB37" s="87"/>
      <c r="AD37" s="108"/>
      <c r="AE37" s="30"/>
      <c r="AF37" s="112"/>
      <c r="AG37" s="29"/>
      <c r="AH37" s="112"/>
      <c r="AI37" s="29"/>
      <c r="AJ37" s="29"/>
      <c r="AK37" s="71"/>
      <c r="AM37" s="86"/>
      <c r="AN37" s="87"/>
      <c r="AP37" s="108"/>
      <c r="AQ37" s="30"/>
      <c r="AR37" s="30"/>
      <c r="AS37" s="29"/>
      <c r="AT37" s="30"/>
      <c r="AU37" s="29"/>
      <c r="AV37" s="29"/>
      <c r="AW37" s="71"/>
      <c r="AY37" s="86"/>
      <c r="AZ37" s="87"/>
      <c r="BB37" s="108"/>
      <c r="BC37" s="30"/>
      <c r="BD37" s="30"/>
      <c r="BE37" s="29"/>
      <c r="BF37" s="30"/>
      <c r="BG37" s="29"/>
      <c r="BH37" s="29"/>
      <c r="BI37" s="71"/>
    </row>
    <row r="38" spans="1:61" ht="12">
      <c r="A38" s="185"/>
      <c r="B38" s="86"/>
      <c r="C38" s="87"/>
      <c r="E38" s="108"/>
      <c r="F38" s="30"/>
      <c r="G38" s="29"/>
      <c r="H38" s="29"/>
      <c r="I38" s="109"/>
      <c r="K38" s="66" t="s">
        <v>808</v>
      </c>
      <c r="L38" s="140">
        <f t="shared" si="0"/>
        <v>2014.34</v>
      </c>
      <c r="M38" s="189"/>
      <c r="N38" s="87"/>
      <c r="P38" s="86"/>
      <c r="Q38" s="87"/>
      <c r="S38" s="108"/>
      <c r="T38" s="461" t="s">
        <v>1295</v>
      </c>
      <c r="U38" s="462" t="s">
        <v>844</v>
      </c>
      <c r="V38" s="499">
        <v>40</v>
      </c>
      <c r="W38" s="806">
        <f>VLOOKUP("TV PGE SERVIDORES 04 40H",RHE,10,FALSE)</f>
        <v>2122.93</v>
      </c>
      <c r="X38" s="109"/>
      <c r="AA38" s="86"/>
      <c r="AB38" s="87"/>
      <c r="AD38" s="108"/>
      <c r="AE38" s="30"/>
      <c r="AF38" s="112"/>
      <c r="AG38" s="29"/>
      <c r="AH38" s="112"/>
      <c r="AI38" s="29"/>
      <c r="AJ38" s="29"/>
      <c r="AK38" s="71"/>
      <c r="AM38" s="86"/>
      <c r="AN38" s="87"/>
      <c r="AP38" s="108"/>
      <c r="AQ38" s="30"/>
      <c r="AR38" s="30"/>
      <c r="AS38" s="29"/>
      <c r="AT38" s="30"/>
      <c r="AU38" s="29"/>
      <c r="AV38" s="29"/>
      <c r="AW38" s="71"/>
      <c r="AY38" s="86"/>
      <c r="AZ38" s="87"/>
      <c r="BB38" s="108"/>
      <c r="BC38" s="30"/>
      <c r="BD38" s="30"/>
      <c r="BE38" s="29"/>
      <c r="BF38" s="30"/>
      <c r="BG38" s="29"/>
      <c r="BH38" s="29"/>
      <c r="BI38" s="71"/>
    </row>
    <row r="39" spans="1:61" ht="12">
      <c r="A39" s="185"/>
      <c r="B39" s="86"/>
      <c r="C39" s="87"/>
      <c r="E39" s="108"/>
      <c r="F39" s="30"/>
      <c r="I39" s="109"/>
      <c r="K39" s="66" t="s">
        <v>809</v>
      </c>
      <c r="L39" s="140">
        <f t="shared" si="0"/>
        <v>2110.43</v>
      </c>
      <c r="M39" s="189"/>
      <c r="N39" s="87"/>
      <c r="P39" s="86"/>
      <c r="Q39" s="87"/>
      <c r="S39" s="108"/>
      <c r="T39" s="461" t="s">
        <v>1296</v>
      </c>
      <c r="U39" s="462" t="s">
        <v>848</v>
      </c>
      <c r="V39" s="499">
        <v>40</v>
      </c>
      <c r="W39" s="806">
        <f>VLOOKUP("TV PGE SERVIDORES 05 40H",RHE,10,FALSE)</f>
        <v>2178.31</v>
      </c>
      <c r="X39" s="109"/>
      <c r="AA39" s="86"/>
      <c r="AB39" s="87"/>
      <c r="AD39" s="108"/>
      <c r="AE39" s="30"/>
      <c r="AF39" s="112"/>
      <c r="AG39" s="29"/>
      <c r="AH39" s="112"/>
      <c r="AI39" s="29"/>
      <c r="AJ39" s="29"/>
      <c r="AK39" s="71"/>
      <c r="AM39" s="86"/>
      <c r="AN39" s="87"/>
      <c r="AP39" s="108"/>
      <c r="AQ39" s="30"/>
      <c r="AR39" s="30"/>
      <c r="AS39" s="29"/>
      <c r="AT39" s="30"/>
      <c r="AU39" s="29"/>
      <c r="AV39" s="29"/>
      <c r="AW39" s="71"/>
      <c r="AY39" s="86"/>
      <c r="AZ39" s="87"/>
      <c r="BB39" s="108"/>
      <c r="BC39" s="30"/>
      <c r="BD39" s="30"/>
      <c r="BE39" s="29"/>
      <c r="BF39" s="30"/>
      <c r="BG39" s="29"/>
      <c r="BH39" s="29"/>
      <c r="BI39" s="71"/>
    </row>
    <row r="40" spans="1:61" ht="12">
      <c r="A40" s="185"/>
      <c r="B40" s="86"/>
      <c r="C40" s="87"/>
      <c r="E40" s="108"/>
      <c r="F40" s="30"/>
      <c r="G40" s="29"/>
      <c r="H40" s="29"/>
      <c r="I40" s="109"/>
      <c r="K40" s="66" t="s">
        <v>705</v>
      </c>
      <c r="L40" s="140">
        <f t="shared" si="0"/>
        <v>2215.14</v>
      </c>
      <c r="M40" s="189"/>
      <c r="N40" s="87"/>
      <c r="P40" s="86"/>
      <c r="Q40" s="87"/>
      <c r="S40" s="108"/>
      <c r="T40" s="461" t="s">
        <v>1297</v>
      </c>
      <c r="U40" s="462" t="s">
        <v>856</v>
      </c>
      <c r="V40" s="499">
        <v>40</v>
      </c>
      <c r="W40" s="806">
        <f>VLOOKUP("TV PGE SERVIDORES 06 40H",RHE,10,FALSE)</f>
        <v>2394.83</v>
      </c>
      <c r="X40" s="109"/>
      <c r="AA40" s="86"/>
      <c r="AB40" s="87"/>
      <c r="AD40" s="108"/>
      <c r="AE40" s="30"/>
      <c r="AF40" s="112"/>
      <c r="AG40" s="29"/>
      <c r="AH40" s="112"/>
      <c r="AI40" s="29"/>
      <c r="AJ40" s="29"/>
      <c r="AK40" s="71"/>
      <c r="AM40" s="86"/>
      <c r="AN40" s="87"/>
      <c r="AP40" s="108"/>
      <c r="AQ40" s="30"/>
      <c r="AR40" s="30"/>
      <c r="AS40" s="29"/>
      <c r="AT40" s="30"/>
      <c r="AU40" s="29"/>
      <c r="AV40" s="29"/>
      <c r="AW40" s="71"/>
      <c r="AY40" s="86"/>
      <c r="AZ40" s="87"/>
      <c r="BB40" s="108"/>
      <c r="BC40" s="30"/>
      <c r="BD40" s="30"/>
      <c r="BF40" s="30"/>
      <c r="BG40" s="29"/>
      <c r="BH40" s="29"/>
      <c r="BI40" s="71"/>
    </row>
    <row r="41" spans="1:61" ht="12">
      <c r="A41" s="185"/>
      <c r="B41" s="86"/>
      <c r="C41" s="87"/>
      <c r="E41" s="108"/>
      <c r="F41" s="30"/>
      <c r="G41" s="29"/>
      <c r="H41" s="29"/>
      <c r="I41" s="109"/>
      <c r="K41" s="66" t="s">
        <v>706</v>
      </c>
      <c r="L41" s="140">
        <f t="shared" si="0"/>
        <v>5960.4</v>
      </c>
      <c r="M41" s="189"/>
      <c r="N41" s="87"/>
      <c r="P41" s="86"/>
      <c r="Q41" s="87"/>
      <c r="S41" s="108"/>
      <c r="T41" s="461" t="s">
        <v>1298</v>
      </c>
      <c r="U41" s="462" t="s">
        <v>853</v>
      </c>
      <c r="V41" s="499">
        <v>40</v>
      </c>
      <c r="W41" s="806">
        <f>VLOOKUP("TV PGE SERVIDORES 07 40H",RHE,10,FALSE)</f>
        <v>2514.32</v>
      </c>
      <c r="X41" s="109"/>
      <c r="AA41" s="86"/>
      <c r="AB41" s="87"/>
      <c r="AD41" s="108"/>
      <c r="AE41" s="30"/>
      <c r="AF41" s="112"/>
      <c r="AG41" s="29"/>
      <c r="AH41" s="112"/>
      <c r="AI41" s="29"/>
      <c r="AJ41" s="29"/>
      <c r="AK41" s="71"/>
      <c r="AM41" s="86"/>
      <c r="AN41" s="87"/>
      <c r="AP41" s="108"/>
      <c r="AQ41" s="30"/>
      <c r="AR41" s="30"/>
      <c r="AS41" s="29"/>
      <c r="AT41" s="136"/>
      <c r="AU41" s="29"/>
      <c r="AV41" s="29"/>
      <c r="AW41" s="71"/>
      <c r="AY41" s="86"/>
      <c r="AZ41" s="87"/>
      <c r="BB41" s="108"/>
      <c r="BC41" s="30"/>
      <c r="BD41" s="30"/>
      <c r="BF41" s="136"/>
      <c r="BG41" s="29"/>
      <c r="BH41" s="29"/>
      <c r="BI41" s="71"/>
    </row>
    <row r="42" spans="1:61" ht="12">
      <c r="A42" s="185"/>
      <c r="B42" s="86"/>
      <c r="C42" s="87"/>
      <c r="E42" s="108"/>
      <c r="F42" s="30"/>
      <c r="G42" s="29"/>
      <c r="H42" s="29"/>
      <c r="I42" s="109"/>
      <c r="K42" s="66" t="s">
        <v>707</v>
      </c>
      <c r="L42" s="140">
        <f t="shared" si="0"/>
        <v>4470.3</v>
      </c>
      <c r="M42" s="189"/>
      <c r="N42" s="87"/>
      <c r="P42" s="86"/>
      <c r="Q42" s="87"/>
      <c r="S42" s="108"/>
      <c r="T42" s="461" t="s">
        <v>1299</v>
      </c>
      <c r="U42" s="462" t="s">
        <v>849</v>
      </c>
      <c r="V42" s="499">
        <v>40</v>
      </c>
      <c r="W42" s="806">
        <f>VLOOKUP("TV PGE SERVIDORES 08 40H",RHE,10,FALSE)</f>
        <v>1315.06</v>
      </c>
      <c r="X42" s="109"/>
      <c r="AA42" s="86"/>
      <c r="AB42" s="87"/>
      <c r="AD42" s="108"/>
      <c r="AE42" s="30"/>
      <c r="AF42" s="112"/>
      <c r="AG42" s="29"/>
      <c r="AH42" s="112"/>
      <c r="AI42" s="29"/>
      <c r="AJ42" s="29"/>
      <c r="AK42" s="71"/>
      <c r="AM42" s="86"/>
      <c r="AN42" s="87"/>
      <c r="AP42" s="108"/>
      <c r="AQ42" s="30"/>
      <c r="AR42" s="30"/>
      <c r="AS42" s="29"/>
      <c r="AT42" s="30"/>
      <c r="AU42" s="29"/>
      <c r="AV42" s="29"/>
      <c r="AW42" s="71"/>
      <c r="AY42" s="86"/>
      <c r="AZ42" s="87"/>
      <c r="BB42" s="108"/>
      <c r="BC42" s="30"/>
      <c r="BD42" s="30"/>
      <c r="BF42" s="30"/>
      <c r="BG42" s="29"/>
      <c r="BH42" s="29"/>
      <c r="BI42" s="71"/>
    </row>
    <row r="43" spans="1:61" ht="12.75" thickBot="1">
      <c r="A43" s="185"/>
      <c r="B43" s="86"/>
      <c r="C43" s="87"/>
      <c r="E43" s="108"/>
      <c r="F43" s="30"/>
      <c r="G43" s="29"/>
      <c r="H43" s="29"/>
      <c r="I43" s="109"/>
      <c r="K43" s="67" t="s">
        <v>92</v>
      </c>
      <c r="L43" s="140">
        <f t="shared" si="0"/>
        <v>2980.2</v>
      </c>
      <c r="M43" s="189"/>
      <c r="N43" s="87"/>
      <c r="P43" s="86"/>
      <c r="Q43" s="87"/>
      <c r="S43" s="108"/>
      <c r="T43" s="461" t="s">
        <v>1300</v>
      </c>
      <c r="U43" s="462" t="s">
        <v>850</v>
      </c>
      <c r="V43" s="499">
        <v>40</v>
      </c>
      <c r="W43" s="806">
        <f>VLOOKUP("TV PGE SERVIDORES 09 40H",RHE,10,FALSE)</f>
        <v>2685.79</v>
      </c>
      <c r="X43" s="109"/>
      <c r="AA43" s="86"/>
      <c r="AB43" s="87"/>
      <c r="AD43" s="108"/>
      <c r="AE43" s="30"/>
      <c r="AF43" s="112"/>
      <c r="AG43" s="29"/>
      <c r="AH43" s="112"/>
      <c r="AI43" s="29"/>
      <c r="AJ43" s="29"/>
      <c r="AK43" s="71"/>
      <c r="AM43" s="86"/>
      <c r="AN43" s="87"/>
      <c r="AP43" s="108"/>
      <c r="AQ43" s="30"/>
      <c r="AR43" s="30"/>
      <c r="AS43" s="29"/>
      <c r="AT43" s="30"/>
      <c r="AU43" s="29"/>
      <c r="AV43" s="29"/>
      <c r="AW43" s="71"/>
      <c r="AY43" s="86"/>
      <c r="AZ43" s="87"/>
      <c r="BB43" s="108"/>
      <c r="BC43" s="30"/>
      <c r="BD43" s="30"/>
      <c r="BE43" s="29"/>
      <c r="BF43" s="30"/>
      <c r="BG43" s="29"/>
      <c r="BH43" s="29"/>
      <c r="BI43" s="71"/>
    </row>
    <row r="44" spans="1:61" ht="12">
      <c r="A44" s="185"/>
      <c r="B44" s="86"/>
      <c r="C44" s="87"/>
      <c r="E44" s="108"/>
      <c r="F44" s="30"/>
      <c r="G44" s="29"/>
      <c r="H44" s="29"/>
      <c r="I44" s="109"/>
      <c r="K44" s="86"/>
      <c r="L44" s="87"/>
      <c r="M44" s="86"/>
      <c r="N44" s="87"/>
      <c r="P44" s="86"/>
      <c r="Q44" s="87"/>
      <c r="S44" s="108"/>
      <c r="T44" s="461" t="s">
        <v>1301</v>
      </c>
      <c r="U44" s="462" t="s">
        <v>851</v>
      </c>
      <c r="V44" s="499">
        <v>40</v>
      </c>
      <c r="W44" s="806">
        <f>VLOOKUP("TV PGE SERVIDORES 10 40H",RHE,10,FALSE)</f>
        <v>2813.91</v>
      </c>
      <c r="X44" s="109"/>
      <c r="AA44" s="86"/>
      <c r="AB44" s="87"/>
      <c r="AD44" s="108"/>
      <c r="AE44" s="30"/>
      <c r="AF44" s="112"/>
      <c r="AG44" s="29"/>
      <c r="AH44" s="112"/>
      <c r="AI44" s="29"/>
      <c r="AJ44" s="29"/>
      <c r="AK44" s="71"/>
      <c r="AM44" s="86"/>
      <c r="AN44" s="87"/>
      <c r="AP44" s="108"/>
      <c r="AQ44" s="30"/>
      <c r="AR44" s="30"/>
      <c r="AS44" s="29"/>
      <c r="AT44" s="30"/>
      <c r="AU44" s="29"/>
      <c r="AV44" s="29"/>
      <c r="AW44" s="71"/>
      <c r="AY44" s="86"/>
      <c r="AZ44" s="87"/>
      <c r="BB44" s="108"/>
      <c r="BC44" s="30"/>
      <c r="BD44" s="30"/>
      <c r="BE44" s="29"/>
      <c r="BF44" s="30"/>
      <c r="BG44" s="29"/>
      <c r="BH44" s="29"/>
      <c r="BI44" s="71"/>
    </row>
    <row r="45" spans="1:61" ht="12">
      <c r="A45" s="185"/>
      <c r="B45" s="86"/>
      <c r="C45" s="87"/>
      <c r="E45" s="108"/>
      <c r="F45" s="30"/>
      <c r="G45" s="29"/>
      <c r="H45" s="29"/>
      <c r="I45" s="109"/>
      <c r="K45" s="86"/>
      <c r="L45" s="87"/>
      <c r="M45" s="86"/>
      <c r="N45" s="87"/>
      <c r="P45" s="86"/>
      <c r="Q45" s="87"/>
      <c r="S45" s="108"/>
      <c r="T45" s="461" t="s">
        <v>1302</v>
      </c>
      <c r="U45" s="462" t="s">
        <v>852</v>
      </c>
      <c r="V45" s="499">
        <v>40</v>
      </c>
      <c r="W45" s="806">
        <f>VLOOKUP("TV PGE SERVIDORES 11 40H",RHE,10,FALSE)</f>
        <v>2953.53</v>
      </c>
      <c r="X45" s="109"/>
      <c r="AA45" s="86"/>
      <c r="AB45" s="87"/>
      <c r="AD45" s="108"/>
      <c r="AE45" s="30"/>
      <c r="AF45" s="112"/>
      <c r="AG45" s="29"/>
      <c r="AH45" s="112"/>
      <c r="AI45" s="29"/>
      <c r="AJ45" s="29"/>
      <c r="AK45" s="71"/>
      <c r="AM45" s="86"/>
      <c r="AN45" s="87"/>
      <c r="AP45" s="108"/>
      <c r="AQ45" s="30"/>
      <c r="AR45" s="30"/>
      <c r="AS45" s="29"/>
      <c r="AT45" s="30"/>
      <c r="AU45" s="29"/>
      <c r="AV45" s="29"/>
      <c r="AW45" s="71"/>
      <c r="AY45" s="86"/>
      <c r="AZ45" s="87"/>
      <c r="BB45" s="108"/>
      <c r="BC45" s="30"/>
      <c r="BD45" s="30"/>
      <c r="BE45" s="29"/>
      <c r="BF45" s="30"/>
      <c r="BG45" s="29"/>
      <c r="BH45" s="29"/>
      <c r="BI45" s="71"/>
    </row>
    <row r="46" spans="1:61" ht="12.75" customHeight="1">
      <c r="A46" s="185"/>
      <c r="B46" s="86"/>
      <c r="C46" s="87"/>
      <c r="E46" s="108"/>
      <c r="F46" s="30"/>
      <c r="G46" s="29"/>
      <c r="H46" s="29"/>
      <c r="I46" s="109"/>
      <c r="K46" s="86"/>
      <c r="L46" s="87"/>
      <c r="M46" s="86"/>
      <c r="N46" s="87"/>
      <c r="P46" s="86"/>
      <c r="Q46" s="87"/>
      <c r="S46" s="108"/>
      <c r="T46" s="461" t="s">
        <v>1303</v>
      </c>
      <c r="U46" s="462" t="s">
        <v>854</v>
      </c>
      <c r="V46" s="499">
        <v>30</v>
      </c>
      <c r="W46" s="806">
        <f>ROUNDDOWN(W35*0.75,2)</f>
        <v>1451.37</v>
      </c>
      <c r="X46" s="109"/>
      <c r="AA46" s="86"/>
      <c r="AB46" s="87"/>
      <c r="AD46" s="108"/>
      <c r="AE46" s="30"/>
      <c r="AF46" s="112"/>
      <c r="AG46" s="29"/>
      <c r="AH46" s="112"/>
      <c r="AI46" s="29"/>
      <c r="AJ46" s="29"/>
      <c r="AK46" s="71"/>
      <c r="AM46" s="86"/>
      <c r="AN46" s="87"/>
      <c r="AP46" s="108"/>
      <c r="AQ46" s="30"/>
      <c r="AR46" s="30"/>
      <c r="AS46" s="29"/>
      <c r="AT46" s="30"/>
      <c r="AU46" s="29"/>
      <c r="AV46" s="29"/>
      <c r="AW46" s="71"/>
      <c r="AY46" s="86"/>
      <c r="AZ46" s="87"/>
      <c r="BB46" s="108"/>
      <c r="BC46" s="30"/>
      <c r="BD46" s="30"/>
      <c r="BE46" s="29"/>
      <c r="BF46" s="30"/>
      <c r="BG46" s="29"/>
      <c r="BH46" s="29"/>
      <c r="BI46" s="71"/>
    </row>
    <row r="47" spans="1:61" ht="12">
      <c r="A47" s="185"/>
      <c r="B47" s="86"/>
      <c r="C47" s="87"/>
      <c r="E47" s="108"/>
      <c r="F47" s="30"/>
      <c r="G47" s="29"/>
      <c r="H47" s="29"/>
      <c r="I47" s="109"/>
      <c r="K47" s="86"/>
      <c r="L47" s="87"/>
      <c r="M47" s="86"/>
      <c r="N47" s="87"/>
      <c r="P47" s="86"/>
      <c r="Q47" s="87"/>
      <c r="S47" s="108"/>
      <c r="T47" s="461" t="s">
        <v>1304</v>
      </c>
      <c r="U47" s="462" t="s">
        <v>855</v>
      </c>
      <c r="V47" s="499">
        <v>30</v>
      </c>
      <c r="W47" s="806">
        <f aca="true" t="shared" si="1" ref="W47:W56">ROUNDDOWN(W36*0.75,2)</f>
        <v>1483.17</v>
      </c>
      <c r="X47" s="109"/>
      <c r="AA47" s="86"/>
      <c r="AB47" s="87"/>
      <c r="AD47" s="108"/>
      <c r="AE47" s="30"/>
      <c r="AF47" s="112"/>
      <c r="AG47" s="29"/>
      <c r="AH47" s="112"/>
      <c r="AI47" s="29"/>
      <c r="AJ47" s="29"/>
      <c r="AK47" s="71"/>
      <c r="AM47" s="86"/>
      <c r="AN47" s="87"/>
      <c r="AP47" s="108"/>
      <c r="AQ47" s="30"/>
      <c r="AR47" s="30"/>
      <c r="AS47" s="29"/>
      <c r="AT47" s="30"/>
      <c r="AU47" s="29"/>
      <c r="AV47" s="29"/>
      <c r="AW47" s="71"/>
      <c r="AY47" s="86"/>
      <c r="AZ47" s="87"/>
      <c r="BB47" s="108"/>
      <c r="BC47" s="30"/>
      <c r="BD47" s="30"/>
      <c r="BE47" s="29"/>
      <c r="BF47" s="30"/>
      <c r="BG47" s="29"/>
      <c r="BH47" s="29"/>
      <c r="BI47" s="71"/>
    </row>
    <row r="48" spans="1:61" ht="12">
      <c r="A48" s="185"/>
      <c r="B48" s="86"/>
      <c r="C48" s="87"/>
      <c r="E48" s="108"/>
      <c r="F48" s="30"/>
      <c r="G48" s="29"/>
      <c r="H48" s="29"/>
      <c r="I48" s="109"/>
      <c r="K48" s="86"/>
      <c r="L48" s="87"/>
      <c r="M48" s="86"/>
      <c r="N48" s="87"/>
      <c r="P48" s="86"/>
      <c r="Q48" s="87"/>
      <c r="S48" s="108"/>
      <c r="T48" s="461" t="s">
        <v>1305</v>
      </c>
      <c r="U48" s="462" t="s">
        <v>857</v>
      </c>
      <c r="V48" s="499">
        <v>30</v>
      </c>
      <c r="W48" s="806">
        <f t="shared" si="1"/>
        <v>1553.3</v>
      </c>
      <c r="X48" s="109"/>
      <c r="AA48" s="86"/>
      <c r="AB48" s="87"/>
      <c r="AD48" s="108"/>
      <c r="AE48" s="30"/>
      <c r="AF48" s="112"/>
      <c r="AG48" s="29"/>
      <c r="AH48" s="112"/>
      <c r="AI48" s="29"/>
      <c r="AJ48" s="29"/>
      <c r="AK48" s="71"/>
      <c r="AM48" s="86"/>
      <c r="AN48" s="87"/>
      <c r="AP48" s="108"/>
      <c r="AQ48" s="30"/>
      <c r="AR48" s="30"/>
      <c r="AS48" s="29"/>
      <c r="AT48" s="30"/>
      <c r="AU48" s="29"/>
      <c r="AV48" s="29"/>
      <c r="AW48" s="71"/>
      <c r="AY48" s="86"/>
      <c r="AZ48" s="87"/>
      <c r="BB48" s="108"/>
      <c r="BC48" s="30"/>
      <c r="BD48" s="30"/>
      <c r="BE48" s="29"/>
      <c r="BF48" s="30"/>
      <c r="BG48" s="29"/>
      <c r="BH48" s="29"/>
      <c r="BI48" s="71"/>
    </row>
    <row r="49" spans="1:61" ht="12">
      <c r="A49" s="185"/>
      <c r="B49" s="86"/>
      <c r="C49" s="87"/>
      <c r="E49" s="108"/>
      <c r="F49" s="30"/>
      <c r="G49" s="29"/>
      <c r="H49" s="29"/>
      <c r="I49" s="109"/>
      <c r="K49" s="86"/>
      <c r="L49" s="87"/>
      <c r="M49" s="86"/>
      <c r="N49" s="87"/>
      <c r="P49" s="86"/>
      <c r="Q49" s="87"/>
      <c r="S49" s="108"/>
      <c r="T49" s="461" t="s">
        <v>1306</v>
      </c>
      <c r="U49" s="462" t="s">
        <v>858</v>
      </c>
      <c r="V49" s="499">
        <v>30</v>
      </c>
      <c r="W49" s="806">
        <f t="shared" si="1"/>
        <v>1592.19</v>
      </c>
      <c r="X49" s="109"/>
      <c r="AA49" s="86"/>
      <c r="AB49" s="87"/>
      <c r="AD49" s="108"/>
      <c r="AE49" s="30"/>
      <c r="AF49" s="112"/>
      <c r="AG49" s="29"/>
      <c r="AH49" s="112"/>
      <c r="AI49" s="29"/>
      <c r="AJ49" s="29"/>
      <c r="AK49" s="71"/>
      <c r="AM49" s="86"/>
      <c r="AN49" s="87"/>
      <c r="AP49" s="108"/>
      <c r="AQ49" s="30"/>
      <c r="AR49" s="30"/>
      <c r="AS49" s="29"/>
      <c r="AT49" s="30"/>
      <c r="AU49" s="29"/>
      <c r="AV49" s="29"/>
      <c r="AW49" s="71"/>
      <c r="AY49" s="86"/>
      <c r="AZ49" s="87"/>
      <c r="BB49" s="108"/>
      <c r="BC49" s="30"/>
      <c r="BD49" s="30"/>
      <c r="BE49" s="29"/>
      <c r="BF49" s="30"/>
      <c r="BG49" s="29"/>
      <c r="BH49" s="29"/>
      <c r="BI49" s="71"/>
    </row>
    <row r="50" spans="1:61" ht="12">
      <c r="A50" s="185"/>
      <c r="B50" s="86"/>
      <c r="C50" s="87"/>
      <c r="E50" s="108"/>
      <c r="F50" s="30"/>
      <c r="G50" s="29"/>
      <c r="H50" s="29"/>
      <c r="I50" s="109"/>
      <c r="K50" s="86"/>
      <c r="L50" s="87"/>
      <c r="M50" s="86"/>
      <c r="N50" s="87"/>
      <c r="P50" s="86"/>
      <c r="Q50" s="87"/>
      <c r="S50" s="108"/>
      <c r="T50" s="461" t="s">
        <v>1307</v>
      </c>
      <c r="U50" s="462" t="s">
        <v>848</v>
      </c>
      <c r="V50" s="499">
        <v>30</v>
      </c>
      <c r="W50" s="806">
        <f t="shared" si="1"/>
        <v>1633.73</v>
      </c>
      <c r="X50" s="109"/>
      <c r="AA50" s="86"/>
      <c r="AB50" s="87"/>
      <c r="AD50" s="108"/>
      <c r="AE50" s="30"/>
      <c r="AF50" s="112"/>
      <c r="AG50" s="29"/>
      <c r="AH50" s="112"/>
      <c r="AI50" s="29"/>
      <c r="AJ50" s="29"/>
      <c r="AK50" s="71"/>
      <c r="AM50" s="86"/>
      <c r="AN50" s="87"/>
      <c r="AP50" s="108"/>
      <c r="AQ50" s="30"/>
      <c r="AR50" s="30"/>
      <c r="AS50" s="29"/>
      <c r="AT50" s="30"/>
      <c r="AU50" s="29"/>
      <c r="AV50" s="29"/>
      <c r="AW50" s="71"/>
      <c r="AY50" s="86"/>
      <c r="AZ50" s="87"/>
      <c r="BB50" s="108"/>
      <c r="BC50" s="30"/>
      <c r="BD50" s="30"/>
      <c r="BE50" s="29"/>
      <c r="BF50" s="30"/>
      <c r="BG50" s="29"/>
      <c r="BH50" s="29"/>
      <c r="BI50" s="71"/>
    </row>
    <row r="51" spans="1:61" ht="12">
      <c r="A51" s="185"/>
      <c r="B51" s="86"/>
      <c r="C51" s="87"/>
      <c r="E51" s="108"/>
      <c r="F51" s="30"/>
      <c r="G51" s="29"/>
      <c r="H51" s="29"/>
      <c r="I51" s="109"/>
      <c r="K51" s="86"/>
      <c r="L51" s="87"/>
      <c r="M51" s="86"/>
      <c r="N51" s="87"/>
      <c r="P51" s="86"/>
      <c r="Q51" s="87"/>
      <c r="S51" s="108"/>
      <c r="T51" s="461" t="s">
        <v>1308</v>
      </c>
      <c r="U51" s="462" t="s">
        <v>856</v>
      </c>
      <c r="V51" s="499">
        <v>30</v>
      </c>
      <c r="W51" s="806">
        <f t="shared" si="1"/>
        <v>1796.12</v>
      </c>
      <c r="X51" s="109"/>
      <c r="AA51" s="86"/>
      <c r="AB51" s="87"/>
      <c r="AD51" s="108"/>
      <c r="AE51" s="30"/>
      <c r="AF51" s="112"/>
      <c r="AG51" s="29"/>
      <c r="AH51" s="112"/>
      <c r="AI51" s="29"/>
      <c r="AJ51" s="29"/>
      <c r="AK51" s="71"/>
      <c r="AM51" s="86"/>
      <c r="AN51" s="87"/>
      <c r="AP51" s="108"/>
      <c r="AQ51" s="30"/>
      <c r="AR51" s="30"/>
      <c r="AS51" s="29"/>
      <c r="AT51" s="30"/>
      <c r="AU51" s="29"/>
      <c r="AV51" s="29"/>
      <c r="AW51" s="71"/>
      <c r="AY51" s="86"/>
      <c r="AZ51" s="87"/>
      <c r="BB51" s="108"/>
      <c r="BC51" s="30"/>
      <c r="BD51" s="30"/>
      <c r="BE51" s="29"/>
      <c r="BF51" s="30"/>
      <c r="BG51" s="29"/>
      <c r="BH51" s="29"/>
      <c r="BI51" s="71"/>
    </row>
    <row r="52" spans="1:61" ht="12" customHeight="1">
      <c r="A52" s="185"/>
      <c r="B52" s="86"/>
      <c r="C52" s="87"/>
      <c r="E52" s="108"/>
      <c r="F52" s="30"/>
      <c r="G52" s="29"/>
      <c r="H52" s="29"/>
      <c r="I52" s="109"/>
      <c r="K52" s="86"/>
      <c r="L52" s="87"/>
      <c r="M52" s="86"/>
      <c r="N52" s="87"/>
      <c r="P52" s="86"/>
      <c r="Q52" s="87"/>
      <c r="S52" s="108"/>
      <c r="T52" s="461" t="s">
        <v>1309</v>
      </c>
      <c r="U52" s="462" t="s">
        <v>853</v>
      </c>
      <c r="V52" s="499">
        <v>30</v>
      </c>
      <c r="W52" s="806">
        <f t="shared" si="1"/>
        <v>1885.74</v>
      </c>
      <c r="X52" s="109"/>
      <c r="AA52" s="86"/>
      <c r="AB52" s="87"/>
      <c r="AD52" s="108"/>
      <c r="AE52" s="30"/>
      <c r="AF52" s="112"/>
      <c r="AG52" s="29"/>
      <c r="AH52" s="131"/>
      <c r="AI52" s="29"/>
      <c r="AJ52" s="29"/>
      <c r="AK52" s="71"/>
      <c r="AM52" s="86"/>
      <c r="AN52" s="87"/>
      <c r="AP52" s="108"/>
      <c r="AQ52" s="30"/>
      <c r="AR52" s="30"/>
      <c r="AS52" s="29"/>
      <c r="AT52" s="29"/>
      <c r="AU52" s="29"/>
      <c r="AV52" s="29"/>
      <c r="AW52" s="71"/>
      <c r="AY52" s="86"/>
      <c r="AZ52" s="87"/>
      <c r="BB52" s="108"/>
      <c r="BC52" s="30"/>
      <c r="BD52" s="30"/>
      <c r="BE52" s="29"/>
      <c r="BF52" s="29"/>
      <c r="BG52" s="29"/>
      <c r="BH52" s="29"/>
      <c r="BI52" s="71"/>
    </row>
    <row r="53" spans="1:61" ht="12.75" customHeight="1">
      <c r="A53" s="185"/>
      <c r="B53" s="86"/>
      <c r="C53" s="87"/>
      <c r="E53" s="108"/>
      <c r="F53" s="30"/>
      <c r="G53" s="29"/>
      <c r="H53" s="29"/>
      <c r="I53" s="109"/>
      <c r="K53" s="86"/>
      <c r="L53" s="87"/>
      <c r="M53" s="86"/>
      <c r="N53" s="87"/>
      <c r="P53" s="86"/>
      <c r="Q53" s="87"/>
      <c r="S53" s="108"/>
      <c r="T53" s="461" t="s">
        <v>1310</v>
      </c>
      <c r="U53" s="462" t="s">
        <v>849</v>
      </c>
      <c r="V53" s="499">
        <v>30</v>
      </c>
      <c r="W53" s="806">
        <f t="shared" si="1"/>
        <v>986.29</v>
      </c>
      <c r="X53" s="109"/>
      <c r="AA53" s="86"/>
      <c r="AB53" s="87"/>
      <c r="AD53" s="108"/>
      <c r="AE53" s="30"/>
      <c r="AF53" s="112"/>
      <c r="AG53" s="29"/>
      <c r="AH53" s="131"/>
      <c r="AI53" s="29"/>
      <c r="AJ53" s="29"/>
      <c r="AK53" s="71"/>
      <c r="AM53" s="86"/>
      <c r="AN53" s="87"/>
      <c r="AP53" s="108"/>
      <c r="AQ53" s="30"/>
      <c r="AR53" s="30"/>
      <c r="AS53" s="29"/>
      <c r="AT53" s="29"/>
      <c r="AU53" s="29"/>
      <c r="AV53" s="29"/>
      <c r="AW53" s="71"/>
      <c r="AY53" s="86"/>
      <c r="AZ53" s="87"/>
      <c r="BB53" s="108"/>
      <c r="BC53" s="30"/>
      <c r="BD53" s="30"/>
      <c r="BE53" s="29"/>
      <c r="BF53" s="29"/>
      <c r="BG53" s="29"/>
      <c r="BH53" s="29"/>
      <c r="BI53" s="71"/>
    </row>
    <row r="54" spans="1:61" ht="12">
      <c r="A54" s="185"/>
      <c r="B54" s="86"/>
      <c r="C54" s="87"/>
      <c r="E54" s="108"/>
      <c r="F54" s="30"/>
      <c r="G54" s="29"/>
      <c r="H54" s="29"/>
      <c r="I54" s="109"/>
      <c r="K54" s="86"/>
      <c r="L54" s="87"/>
      <c r="M54" s="86"/>
      <c r="N54" s="87"/>
      <c r="P54" s="86"/>
      <c r="Q54" s="87"/>
      <c r="S54" s="108"/>
      <c r="T54" s="461" t="s">
        <v>1311</v>
      </c>
      <c r="U54" s="462" t="s">
        <v>850</v>
      </c>
      <c r="V54" s="499">
        <v>30</v>
      </c>
      <c r="W54" s="806">
        <f t="shared" si="1"/>
        <v>2014.34</v>
      </c>
      <c r="X54" s="109"/>
      <c r="AA54" s="86"/>
      <c r="AB54" s="87"/>
      <c r="AD54" s="108"/>
      <c r="AE54" s="30"/>
      <c r="AF54" s="112"/>
      <c r="AG54" s="29"/>
      <c r="AH54" s="131"/>
      <c r="AI54" s="29"/>
      <c r="AJ54" s="29"/>
      <c r="AK54" s="71"/>
      <c r="AM54" s="86"/>
      <c r="AN54" s="87"/>
      <c r="AP54" s="108"/>
      <c r="AQ54" s="30"/>
      <c r="AR54" s="30"/>
      <c r="AS54" s="29"/>
      <c r="AT54" s="29"/>
      <c r="AU54" s="29"/>
      <c r="AV54" s="29"/>
      <c r="AW54" s="71"/>
      <c r="AY54" s="86"/>
      <c r="AZ54" s="87"/>
      <c r="BB54" s="108"/>
      <c r="BC54" s="30"/>
      <c r="BD54" s="30"/>
      <c r="BE54" s="29"/>
      <c r="BF54" s="29"/>
      <c r="BG54" s="29"/>
      <c r="BH54" s="29"/>
      <c r="BI54" s="71"/>
    </row>
    <row r="55" spans="1:61" ht="12" customHeight="1">
      <c r="A55" s="185"/>
      <c r="B55" s="86"/>
      <c r="C55" s="87"/>
      <c r="E55" s="108"/>
      <c r="F55" s="30"/>
      <c r="G55" s="29"/>
      <c r="H55" s="29"/>
      <c r="I55" s="109"/>
      <c r="K55" s="86"/>
      <c r="L55" s="87"/>
      <c r="M55" s="86"/>
      <c r="N55" s="87"/>
      <c r="P55" s="86"/>
      <c r="Q55" s="87"/>
      <c r="S55" s="108"/>
      <c r="T55" s="461" t="s">
        <v>1312</v>
      </c>
      <c r="U55" s="462" t="s">
        <v>851</v>
      </c>
      <c r="V55" s="499">
        <v>30</v>
      </c>
      <c r="W55" s="806">
        <f t="shared" si="1"/>
        <v>2110.43</v>
      </c>
      <c r="X55" s="109"/>
      <c r="AA55" s="86"/>
      <c r="AB55" s="87"/>
      <c r="AD55" s="108"/>
      <c r="AE55" s="30"/>
      <c r="AF55" s="112"/>
      <c r="AG55" s="29"/>
      <c r="AH55" s="131"/>
      <c r="AI55" s="29"/>
      <c r="AJ55" s="29"/>
      <c r="AK55" s="71"/>
      <c r="AM55" s="86"/>
      <c r="AN55" s="87"/>
      <c r="AP55" s="108"/>
      <c r="AQ55" s="30"/>
      <c r="AR55" s="30"/>
      <c r="AS55" s="29"/>
      <c r="AT55" s="29"/>
      <c r="AU55" s="29"/>
      <c r="AV55" s="29"/>
      <c r="AW55" s="71"/>
      <c r="AY55" s="86"/>
      <c r="AZ55" s="87"/>
      <c r="BB55" s="108"/>
      <c r="BC55" s="30"/>
      <c r="BD55" s="30"/>
      <c r="BE55" s="29"/>
      <c r="BF55" s="29"/>
      <c r="BG55" s="29"/>
      <c r="BH55" s="29"/>
      <c r="BI55" s="71"/>
    </row>
    <row r="56" spans="1:61" ht="12.75" customHeight="1">
      <c r="A56" s="185"/>
      <c r="E56" s="108"/>
      <c r="F56" s="30"/>
      <c r="G56" s="29"/>
      <c r="H56" s="29"/>
      <c r="I56" s="109"/>
      <c r="K56" s="86"/>
      <c r="L56" s="87"/>
      <c r="M56" s="86"/>
      <c r="N56" s="87"/>
      <c r="S56" s="108"/>
      <c r="T56" s="461" t="s">
        <v>1313</v>
      </c>
      <c r="U56" s="462" t="s">
        <v>852</v>
      </c>
      <c r="V56" s="499">
        <v>30</v>
      </c>
      <c r="W56" s="806">
        <f t="shared" si="1"/>
        <v>2215.14</v>
      </c>
      <c r="X56" s="109"/>
      <c r="AD56" s="108"/>
      <c r="AE56" s="30"/>
      <c r="AF56" s="112"/>
      <c r="AG56" s="29"/>
      <c r="AH56" s="131"/>
      <c r="AI56" s="29"/>
      <c r="AJ56" s="29"/>
      <c r="AK56" s="71"/>
      <c r="AM56" s="86"/>
      <c r="AN56" s="87"/>
      <c r="AP56" s="108"/>
      <c r="AQ56" s="30"/>
      <c r="AR56" s="30"/>
      <c r="AS56" s="29"/>
      <c r="AT56" s="29"/>
      <c r="AU56" s="29"/>
      <c r="AV56" s="29"/>
      <c r="AW56" s="71"/>
      <c r="BB56" s="108"/>
      <c r="BC56" s="30"/>
      <c r="BD56" s="30"/>
      <c r="BE56" s="29"/>
      <c r="BF56" s="29"/>
      <c r="BG56" s="29"/>
      <c r="BH56" s="29"/>
      <c r="BI56" s="71"/>
    </row>
    <row r="57" spans="1:61" ht="12">
      <c r="A57" s="185"/>
      <c r="E57" s="108"/>
      <c r="F57" s="30"/>
      <c r="G57" s="29"/>
      <c r="H57" s="29"/>
      <c r="I57" s="109"/>
      <c r="K57" s="86"/>
      <c r="L57" s="87"/>
      <c r="M57" s="86"/>
      <c r="N57" s="87"/>
      <c r="S57" s="108"/>
      <c r="T57" s="461" t="s">
        <v>1314</v>
      </c>
      <c r="U57" s="462" t="s">
        <v>859</v>
      </c>
      <c r="V57" s="499">
        <v>40</v>
      </c>
      <c r="W57" s="806">
        <f>VLOOKUP("TV PGE SERVIDORES 12 40H",RHE,10,FALSE)</f>
        <v>5960.4</v>
      </c>
      <c r="X57" s="109"/>
      <c r="AD57" s="108"/>
      <c r="AE57" s="30"/>
      <c r="AF57" s="112"/>
      <c r="AG57" s="29"/>
      <c r="AH57" s="131"/>
      <c r="AI57" s="29"/>
      <c r="AJ57" s="29"/>
      <c r="AK57" s="71"/>
      <c r="AP57" s="108"/>
      <c r="AQ57" s="30"/>
      <c r="AR57" s="30"/>
      <c r="AS57" s="29"/>
      <c r="AT57" s="29"/>
      <c r="AU57" s="29"/>
      <c r="AV57" s="29"/>
      <c r="AW57" s="71"/>
      <c r="BB57" s="108"/>
      <c r="BC57" s="30"/>
      <c r="BD57" s="30"/>
      <c r="BE57" s="29"/>
      <c r="BF57" s="29"/>
      <c r="BG57" s="29"/>
      <c r="BH57" s="29"/>
      <c r="BI57" s="71"/>
    </row>
    <row r="58" spans="1:61" ht="12.75" customHeight="1">
      <c r="A58" s="185"/>
      <c r="E58" s="108"/>
      <c r="F58" s="30"/>
      <c r="G58" s="29"/>
      <c r="H58" s="29"/>
      <c r="I58" s="109"/>
      <c r="K58" s="86"/>
      <c r="L58" s="87"/>
      <c r="M58" s="86"/>
      <c r="N58" s="87"/>
      <c r="S58" s="108"/>
      <c r="T58" s="461" t="s">
        <v>1315</v>
      </c>
      <c r="U58" s="462" t="s">
        <v>859</v>
      </c>
      <c r="V58" s="499">
        <v>30</v>
      </c>
      <c r="W58" s="806">
        <f>ROUNDDOWN(TAB06_PD32*0.75,2)</f>
        <v>4470.3</v>
      </c>
      <c r="X58" s="109"/>
      <c r="AD58" s="108"/>
      <c r="AE58" s="30"/>
      <c r="AF58" s="112"/>
      <c r="AG58" s="29"/>
      <c r="AH58" s="131"/>
      <c r="AI58" s="29"/>
      <c r="AJ58" s="29"/>
      <c r="AK58" s="71"/>
      <c r="AP58" s="108"/>
      <c r="AQ58" s="30"/>
      <c r="AR58" s="30"/>
      <c r="AS58" s="29"/>
      <c r="AT58" s="29"/>
      <c r="AU58" s="29"/>
      <c r="AV58" s="29"/>
      <c r="AW58" s="71"/>
      <c r="BB58" s="108"/>
      <c r="BC58" s="30"/>
      <c r="BD58" s="30"/>
      <c r="BE58" s="29"/>
      <c r="BF58" s="29"/>
      <c r="BG58" s="29"/>
      <c r="BH58" s="29"/>
      <c r="BI58" s="71"/>
    </row>
    <row r="59" spans="1:61" ht="12">
      <c r="A59" s="185"/>
      <c r="E59" s="108"/>
      <c r="F59" s="30"/>
      <c r="G59" s="29"/>
      <c r="H59" s="29" t="s">
        <v>277</v>
      </c>
      <c r="I59" s="109"/>
      <c r="K59" s="86"/>
      <c r="L59" s="87"/>
      <c r="M59" s="86"/>
      <c r="N59" s="87"/>
      <c r="S59" s="108"/>
      <c r="T59" s="464" t="s">
        <v>1316</v>
      </c>
      <c r="U59" s="465" t="s">
        <v>860</v>
      </c>
      <c r="V59" s="501">
        <v>20</v>
      </c>
      <c r="W59" s="820">
        <f>ROUNDDOWN(TAB06_PD32*0.5,2)</f>
        <v>2980.2</v>
      </c>
      <c r="X59" s="109"/>
      <c r="AD59" s="108"/>
      <c r="AE59" s="30"/>
      <c r="AF59" s="112"/>
      <c r="AH59" s="131"/>
      <c r="AI59" s="29"/>
      <c r="AJ59" s="29"/>
      <c r="AK59" s="71"/>
      <c r="AP59" s="108"/>
      <c r="AQ59" s="30"/>
      <c r="AR59" s="30"/>
      <c r="AW59" s="71"/>
      <c r="BB59" s="108"/>
      <c r="BC59" s="30"/>
      <c r="BD59" s="30"/>
      <c r="BF59" s="29"/>
      <c r="BG59" s="29"/>
      <c r="BH59" s="29"/>
      <c r="BI59" s="71"/>
    </row>
    <row r="60" spans="1:61" ht="12">
      <c r="A60" s="185"/>
      <c r="E60" s="108"/>
      <c r="F60" s="30"/>
      <c r="G60" s="29"/>
      <c r="H60" s="29"/>
      <c r="I60" s="109"/>
      <c r="K60" s="86"/>
      <c r="L60" s="87"/>
      <c r="M60" s="86"/>
      <c r="N60" s="87"/>
      <c r="S60" s="108"/>
      <c r="T60" s="112"/>
      <c r="V60" s="29"/>
      <c r="W60" s="29"/>
      <c r="X60" s="109"/>
      <c r="AD60" s="108"/>
      <c r="AE60" s="30"/>
      <c r="AF60" s="112"/>
      <c r="AG60" s="29"/>
      <c r="AH60" s="131"/>
      <c r="AI60" s="29"/>
      <c r="AJ60" s="29"/>
      <c r="AK60" s="71"/>
      <c r="AP60" s="108"/>
      <c r="AQ60" s="30"/>
      <c r="AR60" s="30"/>
      <c r="AW60" s="71"/>
      <c r="BB60" s="108"/>
      <c r="BC60" s="30"/>
      <c r="BD60" s="30"/>
      <c r="BF60" s="29"/>
      <c r="BG60" s="29"/>
      <c r="BH60" s="29"/>
      <c r="BI60" s="71"/>
    </row>
    <row r="61" spans="1:61" ht="12">
      <c r="A61" s="185"/>
      <c r="E61" s="108"/>
      <c r="F61" s="30"/>
      <c r="G61" s="29"/>
      <c r="H61" s="29"/>
      <c r="I61" s="109"/>
      <c r="K61" s="86"/>
      <c r="L61" s="87"/>
      <c r="M61" s="86"/>
      <c r="N61" s="87"/>
      <c r="S61" s="108"/>
      <c r="T61" s="55" t="s">
        <v>861</v>
      </c>
      <c r="U61" s="29" t="s">
        <v>425</v>
      </c>
      <c r="V61" s="29"/>
      <c r="W61" s="29"/>
      <c r="X61" s="109"/>
      <c r="AD61" s="108"/>
      <c r="AE61" s="30"/>
      <c r="AF61" s="112"/>
      <c r="AG61" s="29"/>
      <c r="AH61" s="131"/>
      <c r="AI61" s="29"/>
      <c r="AJ61" s="29"/>
      <c r="AK61" s="71"/>
      <c r="AP61" s="108"/>
      <c r="AQ61" s="30"/>
      <c r="AR61" s="30"/>
      <c r="AS61" s="29"/>
      <c r="AT61" s="29"/>
      <c r="AU61" s="29"/>
      <c r="AV61" s="29"/>
      <c r="AW61" s="71"/>
      <c r="BB61" s="108"/>
      <c r="BC61" s="30"/>
      <c r="BD61" s="30"/>
      <c r="BF61" s="29"/>
      <c r="BG61" s="29"/>
      <c r="BH61" s="29"/>
      <c r="BI61" s="71"/>
    </row>
    <row r="62" spans="1:61" ht="12">
      <c r="A62" s="185"/>
      <c r="E62" s="114"/>
      <c r="F62" s="115"/>
      <c r="G62" s="115"/>
      <c r="H62" s="115"/>
      <c r="I62" s="116"/>
      <c r="K62" s="86"/>
      <c r="L62" s="87"/>
      <c r="M62" s="86"/>
      <c r="N62" s="87"/>
      <c r="S62" s="70"/>
      <c r="U62" s="172" t="s">
        <v>424</v>
      </c>
      <c r="X62" s="71"/>
      <c r="AD62" s="114"/>
      <c r="AE62" s="115"/>
      <c r="AF62" s="135"/>
      <c r="AG62" s="115"/>
      <c r="AH62" s="135"/>
      <c r="AI62" s="115"/>
      <c r="AJ62" s="115"/>
      <c r="AK62" s="116"/>
      <c r="AP62" s="114"/>
      <c r="AQ62" s="115"/>
      <c r="AR62" s="115"/>
      <c r="AS62" s="115"/>
      <c r="AT62" s="115"/>
      <c r="AU62" s="115"/>
      <c r="AV62" s="115"/>
      <c r="AW62" s="116"/>
      <c r="BB62" s="114"/>
      <c r="BC62" s="115"/>
      <c r="BD62" s="115"/>
      <c r="BE62" s="115"/>
      <c r="BF62" s="115"/>
      <c r="BG62" s="115"/>
      <c r="BH62" s="115"/>
      <c r="BI62" s="116"/>
    </row>
    <row r="63" spans="1:24" ht="12">
      <c r="A63" s="185"/>
      <c r="K63" s="86"/>
      <c r="L63" s="87"/>
      <c r="M63" s="86"/>
      <c r="N63" s="87"/>
      <c r="S63" s="114"/>
      <c r="T63" s="175"/>
      <c r="U63" s="115"/>
      <c r="V63" s="115"/>
      <c r="W63" s="115"/>
      <c r="X63" s="116"/>
    </row>
    <row r="64" spans="1:14" ht="12">
      <c r="A64" s="185"/>
      <c r="K64" s="86"/>
      <c r="L64" s="87"/>
      <c r="M64" s="86"/>
      <c r="N64" s="87"/>
    </row>
    <row r="65" spans="1:52" ht="12">
      <c r="A65" s="185"/>
      <c r="B65" s="81"/>
      <c r="C65" s="81"/>
      <c r="K65" s="86"/>
      <c r="L65" s="87"/>
      <c r="M65" s="86"/>
      <c r="N65" s="87"/>
      <c r="P65" s="81"/>
      <c r="Q65" s="81"/>
      <c r="AA65" s="81"/>
      <c r="AB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</row>
    <row r="66" spans="1:52" ht="12">
      <c r="A66" s="185"/>
      <c r="B66" s="81"/>
      <c r="C66" s="81"/>
      <c r="K66" s="86"/>
      <c r="L66" s="87"/>
      <c r="M66" s="86"/>
      <c r="N66" s="87"/>
      <c r="P66" s="81"/>
      <c r="Q66" s="81"/>
      <c r="AA66" s="81"/>
      <c r="AB66" s="81"/>
      <c r="AM66" s="81"/>
      <c r="AN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</row>
    <row r="67" spans="1:52" ht="12">
      <c r="A67" s="185"/>
      <c r="B67" s="81"/>
      <c r="C67" s="81"/>
      <c r="K67" s="86"/>
      <c r="L67" s="87"/>
      <c r="M67" s="86"/>
      <c r="N67" s="87"/>
      <c r="P67" s="81"/>
      <c r="Q67" s="81"/>
      <c r="AA67" s="81"/>
      <c r="AB67" s="81"/>
      <c r="AM67" s="81"/>
      <c r="AN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</row>
    <row r="68" spans="1:52" ht="12">
      <c r="A68" s="185"/>
      <c r="B68" s="81"/>
      <c r="C68" s="81"/>
      <c r="K68" s="86"/>
      <c r="L68" s="87"/>
      <c r="M68" s="86"/>
      <c r="N68" s="87"/>
      <c r="P68" s="81"/>
      <c r="Q68" s="81"/>
      <c r="AA68" s="81"/>
      <c r="AB68" s="81"/>
      <c r="AM68" s="81"/>
      <c r="AN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</row>
    <row r="69" spans="1:52" ht="12">
      <c r="A69" s="185"/>
      <c r="B69" s="81"/>
      <c r="C69" s="81"/>
      <c r="K69" s="86"/>
      <c r="L69" s="87"/>
      <c r="M69" s="86"/>
      <c r="N69" s="87"/>
      <c r="P69" s="81"/>
      <c r="Q69" s="81"/>
      <c r="AA69" s="81"/>
      <c r="AB69" s="81"/>
      <c r="AM69" s="81"/>
      <c r="AN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</row>
    <row r="70" spans="1:52" ht="12">
      <c r="A70" s="185"/>
      <c r="B70" s="81"/>
      <c r="C70" s="81"/>
      <c r="K70" s="86"/>
      <c r="L70" s="87"/>
      <c r="M70" s="86"/>
      <c r="N70" s="87"/>
      <c r="P70" s="81"/>
      <c r="Q70" s="81"/>
      <c r="AA70" s="81"/>
      <c r="AB70" s="81"/>
      <c r="AM70" s="81"/>
      <c r="AN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</row>
    <row r="71" spans="1:52" ht="12">
      <c r="A71" s="185"/>
      <c r="B71" s="81"/>
      <c r="C71" s="81"/>
      <c r="K71" s="86"/>
      <c r="L71" s="87"/>
      <c r="M71" s="86"/>
      <c r="N71" s="87"/>
      <c r="P71" s="81"/>
      <c r="Q71" s="81"/>
      <c r="AA71" s="81"/>
      <c r="AB71" s="81"/>
      <c r="AM71" s="81"/>
      <c r="AN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</row>
    <row r="72" spans="1:52" ht="12">
      <c r="A72" s="185"/>
      <c r="B72" s="81"/>
      <c r="C72" s="81"/>
      <c r="K72" s="86"/>
      <c r="L72" s="87"/>
      <c r="M72" s="86"/>
      <c r="N72" s="87"/>
      <c r="P72" s="81"/>
      <c r="Q72" s="81"/>
      <c r="AA72" s="81"/>
      <c r="AB72" s="81"/>
      <c r="AM72" s="81"/>
      <c r="AN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</row>
    <row r="73" spans="1:52" ht="12">
      <c r="A73" s="185"/>
      <c r="B73" s="81"/>
      <c r="C73" s="81"/>
      <c r="K73" s="86"/>
      <c r="L73" s="87"/>
      <c r="M73" s="86"/>
      <c r="N73" s="87"/>
      <c r="P73" s="81"/>
      <c r="Q73" s="81"/>
      <c r="AA73" s="81"/>
      <c r="AB73" s="81"/>
      <c r="AM73" s="81"/>
      <c r="AN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</row>
    <row r="74" spans="1:52" ht="12">
      <c r="A74" s="185"/>
      <c r="B74" s="81"/>
      <c r="C74" s="81"/>
      <c r="K74" s="86"/>
      <c r="L74" s="87"/>
      <c r="M74" s="86"/>
      <c r="N74" s="87"/>
      <c r="P74" s="81"/>
      <c r="Q74" s="81"/>
      <c r="AA74" s="81"/>
      <c r="AB74" s="81"/>
      <c r="AM74" s="81"/>
      <c r="AN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</row>
    <row r="75" spans="1:52" ht="12">
      <c r="A75" s="185"/>
      <c r="B75" s="81"/>
      <c r="C75" s="81"/>
      <c r="K75" s="86"/>
      <c r="L75" s="87"/>
      <c r="M75" s="86"/>
      <c r="N75" s="87"/>
      <c r="P75" s="81"/>
      <c r="Q75" s="81"/>
      <c r="AA75" s="81"/>
      <c r="AB75" s="81"/>
      <c r="AM75" s="81"/>
      <c r="AN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</row>
    <row r="76" spans="1:52" ht="12">
      <c r="A76" s="185"/>
      <c r="B76" s="81"/>
      <c r="C76" s="81"/>
      <c r="K76" s="190"/>
      <c r="L76" s="190"/>
      <c r="M76" s="190"/>
      <c r="N76" s="190"/>
      <c r="P76" s="81"/>
      <c r="Q76" s="81"/>
      <c r="AA76" s="81"/>
      <c r="AB76" s="81"/>
      <c r="AM76" s="81"/>
      <c r="AN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</row>
    <row r="77" spans="1:52" ht="12">
      <c r="A77" s="185"/>
      <c r="B77" s="81"/>
      <c r="C77" s="81"/>
      <c r="K77" s="190"/>
      <c r="L77" s="190"/>
      <c r="M77" s="190"/>
      <c r="N77" s="190"/>
      <c r="P77" s="81"/>
      <c r="Q77" s="81"/>
      <c r="AA77" s="81"/>
      <c r="AB77" s="81"/>
      <c r="AM77" s="81"/>
      <c r="AN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</row>
    <row r="78" spans="1:52" ht="12">
      <c r="A78" s="185"/>
      <c r="B78" s="81"/>
      <c r="C78" s="81"/>
      <c r="K78" s="190"/>
      <c r="L78" s="190"/>
      <c r="M78" s="190"/>
      <c r="N78" s="190"/>
      <c r="P78" s="81"/>
      <c r="Q78" s="81"/>
      <c r="AA78" s="81"/>
      <c r="AB78" s="81"/>
      <c r="AM78" s="81"/>
      <c r="AN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</row>
    <row r="79" spans="1:52" ht="12">
      <c r="A79" s="185"/>
      <c r="B79" s="81"/>
      <c r="C79" s="81"/>
      <c r="K79" s="190"/>
      <c r="L79" s="190"/>
      <c r="M79" s="190"/>
      <c r="N79" s="190"/>
      <c r="P79" s="81"/>
      <c r="Q79" s="81"/>
      <c r="AA79" s="81"/>
      <c r="AB79" s="81"/>
      <c r="AM79" s="81"/>
      <c r="AN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</row>
    <row r="80" spans="1:52" ht="12">
      <c r="A80" s="185"/>
      <c r="B80" s="81"/>
      <c r="C80" s="81"/>
      <c r="K80" s="190"/>
      <c r="L80" s="190"/>
      <c r="M80" s="190"/>
      <c r="N80" s="190"/>
      <c r="P80" s="81"/>
      <c r="Q80" s="81"/>
      <c r="AA80" s="81"/>
      <c r="AB80" s="81"/>
      <c r="AM80" s="81"/>
      <c r="AN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</row>
    <row r="81" spans="1:52" ht="12">
      <c r="A81" s="185"/>
      <c r="B81" s="81"/>
      <c r="C81" s="81"/>
      <c r="K81" s="190"/>
      <c r="L81" s="190"/>
      <c r="M81" s="190"/>
      <c r="N81" s="190"/>
      <c r="P81" s="81"/>
      <c r="Q81" s="81"/>
      <c r="AA81" s="81"/>
      <c r="AB81" s="81"/>
      <c r="AM81" s="81"/>
      <c r="AN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</row>
    <row r="82" spans="1:52" ht="12">
      <c r="A82" s="185"/>
      <c r="B82" s="81"/>
      <c r="C82" s="81"/>
      <c r="K82" s="190"/>
      <c r="L82" s="190"/>
      <c r="M82" s="190"/>
      <c r="N82" s="190"/>
      <c r="P82" s="81"/>
      <c r="Q82" s="81"/>
      <c r="AA82" s="81"/>
      <c r="AB82" s="81"/>
      <c r="AM82" s="81"/>
      <c r="AN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</row>
    <row r="83" spans="1:52" ht="12">
      <c r="A83" s="185"/>
      <c r="B83" s="81"/>
      <c r="C83" s="81"/>
      <c r="K83" s="190"/>
      <c r="L83" s="190"/>
      <c r="M83" s="190"/>
      <c r="N83" s="190"/>
      <c r="P83" s="81"/>
      <c r="Q83" s="81"/>
      <c r="AA83" s="81"/>
      <c r="AB83" s="81"/>
      <c r="AM83" s="81"/>
      <c r="AN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</row>
    <row r="84" spans="1:52" ht="12">
      <c r="A84" s="185"/>
      <c r="B84" s="81"/>
      <c r="C84" s="81"/>
      <c r="K84" s="81"/>
      <c r="L84" s="81"/>
      <c r="M84" s="81"/>
      <c r="N84" s="81"/>
      <c r="P84" s="81"/>
      <c r="Q84" s="81"/>
      <c r="AA84" s="81"/>
      <c r="AB84" s="81"/>
      <c r="AM84" s="81"/>
      <c r="AN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</row>
    <row r="85" spans="1:52" ht="12">
      <c r="A85" s="191"/>
      <c r="B85" s="81"/>
      <c r="C85" s="81"/>
      <c r="K85" s="81"/>
      <c r="L85" s="81"/>
      <c r="M85" s="81"/>
      <c r="N85" s="81"/>
      <c r="P85" s="81"/>
      <c r="Q85" s="81"/>
      <c r="AA85" s="81"/>
      <c r="AB85" s="81"/>
      <c r="AM85" s="81"/>
      <c r="AN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</row>
    <row r="86" spans="1:52" ht="12">
      <c r="A86" s="191"/>
      <c r="B86" s="81"/>
      <c r="C86" s="81"/>
      <c r="K86" s="81"/>
      <c r="L86" s="81"/>
      <c r="M86" s="81"/>
      <c r="N86" s="81"/>
      <c r="P86" s="81"/>
      <c r="Q86" s="81"/>
      <c r="AA86" s="81"/>
      <c r="AB86" s="81"/>
      <c r="AM86" s="81"/>
      <c r="AN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</row>
    <row r="87" spans="1:52" ht="12">
      <c r="A87" s="191"/>
      <c r="B87" s="81"/>
      <c r="C87" s="81"/>
      <c r="K87" s="81"/>
      <c r="L87" s="81"/>
      <c r="M87" s="81"/>
      <c r="N87" s="81"/>
      <c r="P87" s="81"/>
      <c r="Q87" s="81"/>
      <c r="AA87" s="81"/>
      <c r="AB87" s="81"/>
      <c r="AM87" s="81"/>
      <c r="AN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</row>
    <row r="88" spans="1:52" ht="12">
      <c r="A88" s="191"/>
      <c r="B88" s="81"/>
      <c r="C88" s="81"/>
      <c r="K88" s="81"/>
      <c r="L88" s="81"/>
      <c r="M88" s="81"/>
      <c r="N88" s="81"/>
      <c r="P88" s="81"/>
      <c r="Q88" s="81"/>
      <c r="AA88" s="81"/>
      <c r="AB88" s="81"/>
      <c r="AM88" s="81"/>
      <c r="AN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</row>
    <row r="89" spans="2:52" ht="12">
      <c r="B89" s="81"/>
      <c r="C89" s="81"/>
      <c r="K89" s="81"/>
      <c r="L89" s="81"/>
      <c r="M89" s="81"/>
      <c r="N89" s="81"/>
      <c r="P89" s="81"/>
      <c r="Q89" s="81"/>
      <c r="AA89" s="81"/>
      <c r="AB89" s="81"/>
      <c r="AM89" s="81"/>
      <c r="AN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</row>
    <row r="90" spans="2:52" ht="12">
      <c r="B90" s="81"/>
      <c r="C90" s="81"/>
      <c r="K90" s="81"/>
      <c r="L90" s="81"/>
      <c r="M90" s="81"/>
      <c r="N90" s="81"/>
      <c r="P90" s="81"/>
      <c r="Q90" s="81"/>
      <c r="AA90" s="81"/>
      <c r="AB90" s="81"/>
      <c r="AM90" s="81"/>
      <c r="AN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</row>
    <row r="91" spans="2:52" ht="12">
      <c r="B91" s="81"/>
      <c r="C91" s="81"/>
      <c r="K91" s="81"/>
      <c r="L91" s="81"/>
      <c r="M91" s="81"/>
      <c r="N91" s="81"/>
      <c r="P91" s="81"/>
      <c r="Q91" s="81"/>
      <c r="AA91" s="81"/>
      <c r="AB91" s="81"/>
      <c r="AM91" s="81"/>
      <c r="AN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</row>
    <row r="92" spans="2:52" ht="12">
      <c r="B92" s="81"/>
      <c r="C92" s="81"/>
      <c r="K92" s="81"/>
      <c r="L92" s="81"/>
      <c r="M92" s="81"/>
      <c r="N92" s="81"/>
      <c r="P92" s="81"/>
      <c r="Q92" s="81"/>
      <c r="AA92" s="81"/>
      <c r="AB92" s="81"/>
      <c r="AM92" s="81"/>
      <c r="AN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</row>
    <row r="93" spans="2:52" ht="12">
      <c r="B93" s="81"/>
      <c r="C93" s="81"/>
      <c r="K93" s="81"/>
      <c r="L93" s="81"/>
      <c r="M93" s="81"/>
      <c r="N93" s="81"/>
      <c r="P93" s="81"/>
      <c r="Q93" s="81"/>
      <c r="AA93" s="81"/>
      <c r="AB93" s="81"/>
      <c r="AM93" s="81"/>
      <c r="AN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</row>
    <row r="94" spans="2:52" ht="12">
      <c r="B94" s="81"/>
      <c r="C94" s="81"/>
      <c r="K94" s="81"/>
      <c r="L94" s="81"/>
      <c r="M94" s="81"/>
      <c r="N94" s="81"/>
      <c r="P94" s="81"/>
      <c r="Q94" s="81"/>
      <c r="AA94" s="81"/>
      <c r="AB94" s="81"/>
      <c r="AM94" s="81"/>
      <c r="AN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</row>
    <row r="95" spans="2:52" ht="12">
      <c r="B95" s="81"/>
      <c r="C95" s="81"/>
      <c r="K95" s="81"/>
      <c r="L95" s="81"/>
      <c r="M95" s="81"/>
      <c r="N95" s="81"/>
      <c r="P95" s="81"/>
      <c r="Q95" s="81"/>
      <c r="AA95" s="81"/>
      <c r="AB95" s="81"/>
      <c r="AM95" s="81"/>
      <c r="AN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</row>
    <row r="96" spans="2:52" ht="12">
      <c r="B96" s="81"/>
      <c r="C96" s="81"/>
      <c r="K96" s="81"/>
      <c r="L96" s="81"/>
      <c r="M96" s="81"/>
      <c r="N96" s="81"/>
      <c r="P96" s="81"/>
      <c r="Q96" s="81"/>
      <c r="AA96" s="81"/>
      <c r="AB96" s="81"/>
      <c r="AM96" s="81"/>
      <c r="AN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</row>
    <row r="97" spans="2:52" ht="12">
      <c r="B97" s="81"/>
      <c r="C97" s="81"/>
      <c r="K97" s="81"/>
      <c r="L97" s="81"/>
      <c r="M97" s="81"/>
      <c r="N97" s="81"/>
      <c r="P97" s="81"/>
      <c r="Q97" s="81"/>
      <c r="AA97" s="81"/>
      <c r="AB97" s="81"/>
      <c r="AM97" s="81"/>
      <c r="AN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</row>
    <row r="98" spans="2:52" ht="12">
      <c r="B98" s="81"/>
      <c r="C98" s="81"/>
      <c r="K98" s="81"/>
      <c r="L98" s="81"/>
      <c r="M98" s="81"/>
      <c r="N98" s="81"/>
      <c r="P98" s="81"/>
      <c r="Q98" s="81"/>
      <c r="AA98" s="81"/>
      <c r="AB98" s="81"/>
      <c r="AM98" s="81"/>
      <c r="AN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</row>
    <row r="99" spans="2:52" ht="12">
      <c r="B99" s="81"/>
      <c r="C99" s="81"/>
      <c r="K99" s="81"/>
      <c r="L99" s="81"/>
      <c r="M99" s="81"/>
      <c r="N99" s="81"/>
      <c r="P99" s="81"/>
      <c r="Q99" s="81"/>
      <c r="AA99" s="81"/>
      <c r="AB99" s="81"/>
      <c r="AM99" s="81"/>
      <c r="AN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</row>
    <row r="100" spans="2:52" ht="12">
      <c r="B100" s="81"/>
      <c r="C100" s="81"/>
      <c r="K100" s="81"/>
      <c r="L100" s="81"/>
      <c r="M100" s="81"/>
      <c r="N100" s="81"/>
      <c r="P100" s="81"/>
      <c r="Q100" s="81"/>
      <c r="AA100" s="81"/>
      <c r="AB100" s="81"/>
      <c r="AM100" s="81"/>
      <c r="AN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</row>
    <row r="101" spans="2:52" ht="12">
      <c r="B101" s="81"/>
      <c r="C101" s="81"/>
      <c r="K101" s="81"/>
      <c r="L101" s="81"/>
      <c r="M101" s="81"/>
      <c r="N101" s="81"/>
      <c r="P101" s="81"/>
      <c r="Q101" s="81"/>
      <c r="AA101" s="81"/>
      <c r="AB101" s="81"/>
      <c r="AM101" s="81"/>
      <c r="AN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</row>
    <row r="102" spans="2:52" ht="12">
      <c r="B102" s="81"/>
      <c r="C102" s="81"/>
      <c r="K102" s="81"/>
      <c r="L102" s="81"/>
      <c r="M102" s="81"/>
      <c r="N102" s="81"/>
      <c r="P102" s="81"/>
      <c r="Q102" s="81"/>
      <c r="AA102" s="81"/>
      <c r="AB102" s="81"/>
      <c r="AM102" s="81"/>
      <c r="AN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</row>
    <row r="103" spans="2:52" ht="12">
      <c r="B103" s="81"/>
      <c r="C103" s="81"/>
      <c r="K103" s="81"/>
      <c r="L103" s="81"/>
      <c r="M103" s="81"/>
      <c r="N103" s="81"/>
      <c r="P103" s="81"/>
      <c r="Q103" s="81"/>
      <c r="AA103" s="81"/>
      <c r="AB103" s="81"/>
      <c r="AM103" s="81"/>
      <c r="AN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</row>
    <row r="104" spans="2:52" ht="12">
      <c r="B104" s="81"/>
      <c r="C104" s="81"/>
      <c r="K104" s="81"/>
      <c r="L104" s="81"/>
      <c r="M104" s="81"/>
      <c r="N104" s="81"/>
      <c r="P104" s="81"/>
      <c r="Q104" s="81"/>
      <c r="AA104" s="81"/>
      <c r="AB104" s="81"/>
      <c r="AM104" s="81"/>
      <c r="AN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</row>
    <row r="105" spans="2:52" ht="12">
      <c r="B105" s="81"/>
      <c r="C105" s="81"/>
      <c r="K105" s="81"/>
      <c r="L105" s="81"/>
      <c r="M105" s="81"/>
      <c r="N105" s="81"/>
      <c r="P105" s="81"/>
      <c r="Q105" s="81"/>
      <c r="AA105" s="81"/>
      <c r="AB105" s="81"/>
      <c r="AM105" s="81"/>
      <c r="AN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</row>
    <row r="106" spans="2:52" ht="12">
      <c r="B106" s="81"/>
      <c r="C106" s="81"/>
      <c r="K106" s="81"/>
      <c r="L106" s="81"/>
      <c r="M106" s="81"/>
      <c r="N106" s="81"/>
      <c r="P106" s="81"/>
      <c r="Q106" s="81"/>
      <c r="AA106" s="81"/>
      <c r="AB106" s="81"/>
      <c r="AM106" s="81"/>
      <c r="AN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</row>
    <row r="107" spans="2:52" ht="12">
      <c r="B107" s="81"/>
      <c r="C107" s="81"/>
      <c r="K107" s="81"/>
      <c r="L107" s="81"/>
      <c r="M107" s="81"/>
      <c r="N107" s="81"/>
      <c r="P107" s="81"/>
      <c r="Q107" s="81"/>
      <c r="AA107" s="81"/>
      <c r="AB107" s="81"/>
      <c r="AM107" s="81"/>
      <c r="AN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</row>
    <row r="108" spans="2:52" ht="12">
      <c r="B108" s="81"/>
      <c r="C108" s="81"/>
      <c r="K108" s="81"/>
      <c r="L108" s="81"/>
      <c r="M108" s="81"/>
      <c r="N108" s="81"/>
      <c r="P108" s="81"/>
      <c r="Q108" s="81"/>
      <c r="AA108" s="81"/>
      <c r="AB108" s="81"/>
      <c r="AM108" s="81"/>
      <c r="AN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</row>
    <row r="109" spans="2:52" ht="12">
      <c r="B109" s="81"/>
      <c r="C109" s="81"/>
      <c r="K109" s="81"/>
      <c r="L109" s="81"/>
      <c r="M109" s="81"/>
      <c r="N109" s="81"/>
      <c r="P109" s="81"/>
      <c r="Q109" s="81"/>
      <c r="AA109" s="81"/>
      <c r="AB109" s="81"/>
      <c r="AM109" s="81"/>
      <c r="AN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</row>
    <row r="110" spans="2:52" ht="12">
      <c r="B110" s="81"/>
      <c r="C110" s="81"/>
      <c r="K110" s="81"/>
      <c r="L110" s="81"/>
      <c r="M110" s="81"/>
      <c r="N110" s="81"/>
      <c r="P110" s="81"/>
      <c r="Q110" s="81"/>
      <c r="AA110" s="81"/>
      <c r="AB110" s="81"/>
      <c r="AM110" s="81"/>
      <c r="AN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</row>
    <row r="111" spans="2:52" ht="12">
      <c r="B111" s="81"/>
      <c r="C111" s="81"/>
      <c r="K111" s="81"/>
      <c r="L111" s="81"/>
      <c r="M111" s="81"/>
      <c r="N111" s="81"/>
      <c r="P111" s="81"/>
      <c r="Q111" s="81"/>
      <c r="AA111" s="81"/>
      <c r="AB111" s="81"/>
      <c r="AM111" s="81"/>
      <c r="AN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</row>
    <row r="112" spans="2:52" ht="12">
      <c r="B112" s="81"/>
      <c r="C112" s="81"/>
      <c r="K112" s="81"/>
      <c r="L112" s="81"/>
      <c r="M112" s="81"/>
      <c r="N112" s="81"/>
      <c r="P112" s="81"/>
      <c r="Q112" s="81"/>
      <c r="AA112" s="81"/>
      <c r="AB112" s="81"/>
      <c r="AM112" s="81"/>
      <c r="AN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</row>
    <row r="113" spans="2:52" ht="12">
      <c r="B113" s="81"/>
      <c r="C113" s="81"/>
      <c r="K113" s="81"/>
      <c r="L113" s="81"/>
      <c r="M113" s="81"/>
      <c r="N113" s="81"/>
      <c r="P113" s="81"/>
      <c r="Q113" s="81"/>
      <c r="AA113" s="81"/>
      <c r="AB113" s="81"/>
      <c r="AM113" s="81"/>
      <c r="AN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</row>
    <row r="114" spans="2:52" ht="12">
      <c r="B114" s="81"/>
      <c r="C114" s="81"/>
      <c r="K114" s="81"/>
      <c r="L114" s="81"/>
      <c r="M114" s="81"/>
      <c r="N114" s="81"/>
      <c r="P114" s="81"/>
      <c r="Q114" s="81"/>
      <c r="AA114" s="81"/>
      <c r="AB114" s="81"/>
      <c r="AM114" s="81"/>
      <c r="AN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</row>
    <row r="115" spans="2:52" ht="12">
      <c r="B115" s="81"/>
      <c r="C115" s="81"/>
      <c r="K115" s="81"/>
      <c r="L115" s="81"/>
      <c r="M115" s="81"/>
      <c r="N115" s="81"/>
      <c r="P115" s="81"/>
      <c r="Q115" s="81"/>
      <c r="AA115" s="81"/>
      <c r="AB115" s="81"/>
      <c r="AM115" s="81"/>
      <c r="AN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</row>
    <row r="116" spans="2:52" ht="12">
      <c r="B116" s="81"/>
      <c r="C116" s="81"/>
      <c r="K116" s="81"/>
      <c r="L116" s="81"/>
      <c r="M116" s="81"/>
      <c r="N116" s="81"/>
      <c r="P116" s="81"/>
      <c r="Q116" s="81"/>
      <c r="AA116" s="81"/>
      <c r="AB116" s="81"/>
      <c r="AM116" s="81"/>
      <c r="AN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</row>
    <row r="117" spans="2:52" ht="12">
      <c r="B117" s="81"/>
      <c r="C117" s="81"/>
      <c r="K117" s="81"/>
      <c r="L117" s="81"/>
      <c r="M117" s="81"/>
      <c r="N117" s="81"/>
      <c r="P117" s="81"/>
      <c r="Q117" s="81"/>
      <c r="AA117" s="81"/>
      <c r="AB117" s="81"/>
      <c r="AM117" s="81"/>
      <c r="AN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</row>
    <row r="118" spans="2:52" ht="12">
      <c r="B118" s="81"/>
      <c r="C118" s="81"/>
      <c r="K118" s="81"/>
      <c r="L118" s="81"/>
      <c r="M118" s="81"/>
      <c r="N118" s="81"/>
      <c r="P118" s="81"/>
      <c r="Q118" s="81"/>
      <c r="AA118" s="81"/>
      <c r="AB118" s="81"/>
      <c r="AM118" s="81"/>
      <c r="AN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</row>
    <row r="119" spans="2:52" ht="12">
      <c r="B119" s="81"/>
      <c r="C119" s="81"/>
      <c r="K119" s="81"/>
      <c r="L119" s="81"/>
      <c r="M119" s="81"/>
      <c r="N119" s="81"/>
      <c r="P119" s="81"/>
      <c r="Q119" s="81"/>
      <c r="AA119" s="81"/>
      <c r="AB119" s="81"/>
      <c r="AM119" s="81"/>
      <c r="AN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</row>
    <row r="120" spans="2:52" ht="12">
      <c r="B120" s="81"/>
      <c r="C120" s="81"/>
      <c r="K120" s="81"/>
      <c r="L120" s="81"/>
      <c r="M120" s="81"/>
      <c r="N120" s="81"/>
      <c r="P120" s="81"/>
      <c r="Q120" s="81"/>
      <c r="AA120" s="81"/>
      <c r="AB120" s="81"/>
      <c r="AM120" s="81"/>
      <c r="AN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</row>
    <row r="121" spans="2:52" ht="12">
      <c r="B121" s="81"/>
      <c r="C121" s="81"/>
      <c r="K121" s="81"/>
      <c r="L121" s="81"/>
      <c r="M121" s="81"/>
      <c r="N121" s="81"/>
      <c r="P121" s="81"/>
      <c r="Q121" s="81"/>
      <c r="AA121" s="81"/>
      <c r="AB121" s="81"/>
      <c r="AM121" s="81"/>
      <c r="AN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</row>
    <row r="122" spans="2:52" ht="12">
      <c r="B122" s="81"/>
      <c r="C122" s="81"/>
      <c r="K122" s="81"/>
      <c r="L122" s="81"/>
      <c r="M122" s="81"/>
      <c r="N122" s="81"/>
      <c r="P122" s="81"/>
      <c r="Q122" s="81"/>
      <c r="AA122" s="81"/>
      <c r="AB122" s="81"/>
      <c r="AM122" s="81"/>
      <c r="AN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</row>
    <row r="123" spans="2:52" ht="12">
      <c r="B123" s="81"/>
      <c r="C123" s="81"/>
      <c r="K123" s="81"/>
      <c r="L123" s="81"/>
      <c r="M123" s="81"/>
      <c r="N123" s="81"/>
      <c r="P123" s="81"/>
      <c r="Q123" s="81"/>
      <c r="AA123" s="81"/>
      <c r="AB123" s="81"/>
      <c r="AM123" s="81"/>
      <c r="AN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</row>
    <row r="124" spans="2:52" ht="12">
      <c r="B124" s="81"/>
      <c r="C124" s="81"/>
      <c r="K124" s="81"/>
      <c r="L124" s="81"/>
      <c r="M124" s="81"/>
      <c r="N124" s="81"/>
      <c r="P124" s="81"/>
      <c r="Q124" s="81"/>
      <c r="AA124" s="81"/>
      <c r="AB124" s="81"/>
      <c r="AM124" s="81"/>
      <c r="AN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</row>
    <row r="125" spans="2:52" ht="12">
      <c r="B125" s="81"/>
      <c r="C125" s="81"/>
      <c r="K125" s="81"/>
      <c r="L125" s="81"/>
      <c r="M125" s="81"/>
      <c r="N125" s="81"/>
      <c r="P125" s="81"/>
      <c r="Q125" s="81"/>
      <c r="AA125" s="81"/>
      <c r="AB125" s="81"/>
      <c r="AM125" s="81"/>
      <c r="AN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</row>
    <row r="126" spans="2:52" ht="12">
      <c r="B126" s="81"/>
      <c r="C126" s="81"/>
      <c r="K126" s="81"/>
      <c r="L126" s="81"/>
      <c r="M126" s="81"/>
      <c r="N126" s="81"/>
      <c r="P126" s="81"/>
      <c r="Q126" s="81"/>
      <c r="AA126" s="81"/>
      <c r="AB126" s="81"/>
      <c r="AM126" s="81"/>
      <c r="AN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</row>
    <row r="127" spans="2:52" ht="12">
      <c r="B127" s="81"/>
      <c r="C127" s="81"/>
      <c r="K127" s="81"/>
      <c r="L127" s="81"/>
      <c r="M127" s="81"/>
      <c r="N127" s="81"/>
      <c r="P127" s="81"/>
      <c r="Q127" s="81"/>
      <c r="AA127" s="81"/>
      <c r="AB127" s="81"/>
      <c r="AM127" s="81"/>
      <c r="AN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</row>
    <row r="128" spans="2:52" ht="12">
      <c r="B128" s="81"/>
      <c r="C128" s="81"/>
      <c r="K128" s="81"/>
      <c r="L128" s="81"/>
      <c r="M128" s="81"/>
      <c r="N128" s="81"/>
      <c r="P128" s="81"/>
      <c r="Q128" s="81"/>
      <c r="AA128" s="81"/>
      <c r="AB128" s="81"/>
      <c r="AM128" s="81"/>
      <c r="AN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</row>
    <row r="129" spans="2:52" ht="12">
      <c r="B129" s="81"/>
      <c r="C129" s="81"/>
      <c r="K129" s="81"/>
      <c r="L129" s="81"/>
      <c r="M129" s="81"/>
      <c r="N129" s="81"/>
      <c r="P129" s="81"/>
      <c r="Q129" s="81"/>
      <c r="AA129" s="81"/>
      <c r="AB129" s="81"/>
      <c r="AM129" s="81"/>
      <c r="AN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</row>
    <row r="130" spans="2:52" ht="12">
      <c r="B130" s="81"/>
      <c r="C130" s="81"/>
      <c r="K130" s="81"/>
      <c r="L130" s="81"/>
      <c r="M130" s="81"/>
      <c r="N130" s="81"/>
      <c r="P130" s="81"/>
      <c r="Q130" s="81"/>
      <c r="AA130" s="81"/>
      <c r="AB130" s="81"/>
      <c r="AM130" s="81"/>
      <c r="AN130" s="81"/>
      <c r="AY130" s="81"/>
      <c r="AZ130" s="81"/>
    </row>
    <row r="131" spans="39:40" ht="12">
      <c r="AM131" s="81"/>
      <c r="AN131" s="81"/>
    </row>
  </sheetData>
  <sheetProtection/>
  <mergeCells count="62">
    <mergeCell ref="W19:W20"/>
    <mergeCell ref="AD5:AE5"/>
    <mergeCell ref="AQ31:AV32"/>
    <mergeCell ref="F15:F16"/>
    <mergeCell ref="F20:F21"/>
    <mergeCell ref="H10:H11"/>
    <mergeCell ref="H15:H16"/>
    <mergeCell ref="H20:H21"/>
    <mergeCell ref="T13:T14"/>
    <mergeCell ref="T19:T20"/>
    <mergeCell ref="V19:V20"/>
    <mergeCell ref="T31:W31"/>
    <mergeCell ref="S3:T3"/>
    <mergeCell ref="W3:X3"/>
    <mergeCell ref="W4:X4"/>
    <mergeCell ref="T10:T11"/>
    <mergeCell ref="V10:V11"/>
    <mergeCell ref="W10:W11"/>
    <mergeCell ref="V13:V14"/>
    <mergeCell ref="W13:W14"/>
    <mergeCell ref="F10:F11"/>
    <mergeCell ref="AJ3:AK3"/>
    <mergeCell ref="AF3:AI3"/>
    <mergeCell ref="AF4:AI4"/>
    <mergeCell ref="AJ4:AK4"/>
    <mergeCell ref="U3:V3"/>
    <mergeCell ref="E3:F3"/>
    <mergeCell ref="H4:I4"/>
    <mergeCell ref="H3:I3"/>
    <mergeCell ref="AF11:AF12"/>
    <mergeCell ref="AQ27:AV28"/>
    <mergeCell ref="AG11:AG12"/>
    <mergeCell ref="AH11:AH12"/>
    <mergeCell ref="AI11:AI12"/>
    <mergeCell ref="AE27:AJ28"/>
    <mergeCell ref="AR11:AR12"/>
    <mergeCell ref="AS11:AS12"/>
    <mergeCell ref="AT11:AT12"/>
    <mergeCell ref="AU11:AU12"/>
    <mergeCell ref="AV11:AV12"/>
    <mergeCell ref="AP3:AQ3"/>
    <mergeCell ref="AR3:AU3"/>
    <mergeCell ref="AR4:AU4"/>
    <mergeCell ref="AV4:AW4"/>
    <mergeCell ref="AV3:AW3"/>
    <mergeCell ref="AP5:AQ5"/>
    <mergeCell ref="BH3:BI3"/>
    <mergeCell ref="BC27:BH28"/>
    <mergeCell ref="BG11:BG12"/>
    <mergeCell ref="BF11:BF12"/>
    <mergeCell ref="BE11:BE12"/>
    <mergeCell ref="BD11:BD12"/>
    <mergeCell ref="BB3:BC3"/>
    <mergeCell ref="BD3:BG3"/>
    <mergeCell ref="T16:T17"/>
    <mergeCell ref="V16:V17"/>
    <mergeCell ref="W16:W17"/>
    <mergeCell ref="BH4:BI4"/>
    <mergeCell ref="BD4:BG4"/>
    <mergeCell ref="AJ11:AJ12"/>
    <mergeCell ref="AD4:AE4"/>
    <mergeCell ref="U4:V4"/>
  </mergeCells>
  <printOptions horizontalCentered="1" verticalCentered="1"/>
  <pageMargins left="0.42" right="0.1968503937007874" top="0.1968503937007874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0"/>
  <sheetViews>
    <sheetView zoomScale="95" zoomScaleNormal="95" zoomScalePageLayoutView="0" workbookViewId="0" topLeftCell="Y1">
      <selection activeCell="AH4" sqref="AH4:AJ4"/>
    </sheetView>
  </sheetViews>
  <sheetFormatPr defaultColWidth="9.140625" defaultRowHeight="12.75"/>
  <cols>
    <col min="1" max="1" width="6.7109375" style="31" hidden="1" customWidth="1"/>
    <col min="2" max="2" width="4.57421875" style="31" customWidth="1"/>
    <col min="3" max="3" width="3.8515625" style="31" customWidth="1"/>
    <col min="4" max="4" width="9.57421875" style="31" customWidth="1"/>
    <col min="5" max="7" width="10.57421875" style="31" customWidth="1"/>
    <col min="8" max="8" width="4.421875" style="31" customWidth="1"/>
    <col min="9" max="9" width="9.57421875" style="31" customWidth="1"/>
    <col min="10" max="11" width="10.57421875" style="31" customWidth="1"/>
    <col min="12" max="12" width="9.57421875" style="31" customWidth="1"/>
    <col min="13" max="13" width="3.8515625" style="31" customWidth="1"/>
    <col min="14" max="15" width="3.140625" style="31" customWidth="1"/>
    <col min="16" max="16" width="4.8515625" style="31" customWidth="1"/>
    <col min="17" max="20" width="9.140625" style="31" customWidth="1"/>
    <col min="21" max="21" width="7.00390625" style="31" customWidth="1"/>
    <col min="22" max="22" width="5.140625" style="31" customWidth="1"/>
    <col min="23" max="23" width="9.140625" style="31" customWidth="1"/>
    <col min="24" max="24" width="6.7109375" style="31" customWidth="1"/>
    <col min="25" max="25" width="3.28125" style="31" customWidth="1"/>
    <col min="26" max="26" width="6.00390625" style="31" customWidth="1"/>
    <col min="27" max="27" width="10.7109375" style="31" customWidth="1"/>
    <col min="28" max="28" width="10.28125" style="31" customWidth="1"/>
    <col min="29" max="29" width="10.7109375" style="31" customWidth="1"/>
    <col min="30" max="30" width="8.421875" style="31" customWidth="1"/>
    <col min="31" max="31" width="5.140625" style="31" customWidth="1"/>
    <col min="32" max="32" width="8.8515625" style="31" customWidth="1"/>
    <col min="33" max="33" width="12.8515625" style="31" customWidth="1"/>
    <col min="34" max="34" width="10.7109375" style="31" customWidth="1"/>
    <col min="35" max="35" width="8.421875" style="31" customWidth="1"/>
    <col min="36" max="36" width="5.8515625" style="31" customWidth="1"/>
    <col min="37" max="16384" width="9.140625" style="31" customWidth="1"/>
  </cols>
  <sheetData>
    <row r="1" spans="5:6" ht="12.75" thickBot="1">
      <c r="E1" s="69"/>
      <c r="F1" s="72"/>
    </row>
    <row r="2" spans="3:44" ht="15"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9"/>
      <c r="P2" s="195"/>
      <c r="Q2" s="196"/>
      <c r="R2" s="196"/>
      <c r="S2" s="196"/>
      <c r="T2" s="196"/>
      <c r="U2" s="197"/>
      <c r="Z2" s="117"/>
      <c r="AA2" s="118"/>
      <c r="AB2" s="118"/>
      <c r="AC2" s="118"/>
      <c r="AD2" s="118"/>
      <c r="AE2" s="118"/>
      <c r="AF2" s="118"/>
      <c r="AG2" s="118"/>
      <c r="AH2" s="118"/>
      <c r="AI2" s="118"/>
      <c r="AJ2" s="119"/>
      <c r="AM2" s="195"/>
      <c r="AN2" s="196"/>
      <c r="AO2" s="196"/>
      <c r="AP2" s="196"/>
      <c r="AQ2" s="196"/>
      <c r="AR2" s="197"/>
    </row>
    <row r="3" spans="3:44" ht="15">
      <c r="C3" s="1216" t="s">
        <v>274</v>
      </c>
      <c r="D3" s="1193"/>
      <c r="E3" s="1193" t="s">
        <v>640</v>
      </c>
      <c r="F3" s="1193"/>
      <c r="G3" s="1193"/>
      <c r="H3" s="1193"/>
      <c r="I3" s="1193"/>
      <c r="J3" s="1193"/>
      <c r="K3" s="1193" t="s">
        <v>1080</v>
      </c>
      <c r="L3" s="1193"/>
      <c r="M3" s="1214"/>
      <c r="P3" s="198"/>
      <c r="Q3" s="99" t="s">
        <v>70</v>
      </c>
      <c r="R3" s="99"/>
      <c r="S3" s="99"/>
      <c r="T3" s="99"/>
      <c r="U3" s="199"/>
      <c r="Z3" s="1216" t="s">
        <v>274</v>
      </c>
      <c r="AA3" s="1193"/>
      <c r="AB3" s="1193" t="s">
        <v>641</v>
      </c>
      <c r="AC3" s="1193"/>
      <c r="AD3" s="1193"/>
      <c r="AE3" s="1193"/>
      <c r="AF3" s="1193"/>
      <c r="AG3" s="1193"/>
      <c r="AH3" s="1193" t="s">
        <v>1080</v>
      </c>
      <c r="AI3" s="1193"/>
      <c r="AJ3" s="1214"/>
      <c r="AM3" s="198"/>
      <c r="AN3" s="99" t="s">
        <v>70</v>
      </c>
      <c r="AO3" s="99"/>
      <c r="AP3" s="99"/>
      <c r="AQ3" s="99"/>
      <c r="AR3" s="199"/>
    </row>
    <row r="4" spans="3:44" ht="15">
      <c r="C4" s="120"/>
      <c r="D4" s="121"/>
      <c r="E4" s="1193" t="s">
        <v>1284</v>
      </c>
      <c r="F4" s="1193"/>
      <c r="G4" s="1193"/>
      <c r="H4" s="1193"/>
      <c r="I4" s="1193"/>
      <c r="J4" s="1193"/>
      <c r="K4" s="1194">
        <f>VLOOKUP("TV EMERG/TEMP 01 01H",RHE,5,FALSE)</f>
        <v>41579</v>
      </c>
      <c r="L4" s="1194" t="e">
        <f>VLOOKUP("TV EMERG/TEMP 01",RHE,10,FALSE)</f>
        <v>#N/A</v>
      </c>
      <c r="M4" s="1195" t="e">
        <f>VLOOKUP("TV EMERG/TEMP 01",RHE,10,FALSE)</f>
        <v>#N/A</v>
      </c>
      <c r="P4" s="198"/>
      <c r="Q4" s="99"/>
      <c r="R4" s="99"/>
      <c r="S4" s="99"/>
      <c r="T4" s="99"/>
      <c r="U4" s="199"/>
      <c r="Z4" s="120"/>
      <c r="AA4" s="121"/>
      <c r="AB4" s="1193" t="s">
        <v>642</v>
      </c>
      <c r="AC4" s="1193"/>
      <c r="AD4" s="1193"/>
      <c r="AE4" s="1193"/>
      <c r="AF4" s="1193"/>
      <c r="AG4" s="1193"/>
      <c r="AH4" s="1194">
        <f>VLOOKUP("TV MAGIST Q UNICO 01 20H",RHE,5,FALSE)</f>
        <v>41579</v>
      </c>
      <c r="AI4" s="1194" t="e">
        <f>VLOOKUP("TV EMERG/TEMP 01",RHE,10,FALSE)</f>
        <v>#N/A</v>
      </c>
      <c r="AJ4" s="1195" t="e">
        <f>VLOOKUP("TV EMERG/TEMP 01",RHE,10,FALSE)</f>
        <v>#N/A</v>
      </c>
      <c r="AM4" s="198"/>
      <c r="AN4" s="99"/>
      <c r="AO4" s="99"/>
      <c r="AP4" s="99"/>
      <c r="AQ4" s="99"/>
      <c r="AR4" s="199"/>
    </row>
    <row r="5" spans="3:44" ht="15">
      <c r="C5" s="122"/>
      <c r="D5" s="325"/>
      <c r="E5" s="123"/>
      <c r="F5" s="123"/>
      <c r="G5" s="123"/>
      <c r="H5" s="123"/>
      <c r="I5" s="123"/>
      <c r="J5" s="123"/>
      <c r="K5" s="123"/>
      <c r="L5" s="123"/>
      <c r="M5" s="128"/>
      <c r="P5" s="198"/>
      <c r="Q5" s="99" t="s">
        <v>71</v>
      </c>
      <c r="R5" s="99"/>
      <c r="S5" s="99"/>
      <c r="T5" s="99"/>
      <c r="U5" s="199"/>
      <c r="W5" s="126"/>
      <c r="Z5" s="431"/>
      <c r="AA5" s="123"/>
      <c r="AB5" s="1305" t="s">
        <v>1350</v>
      </c>
      <c r="AC5" s="1305"/>
      <c r="AD5" s="1305"/>
      <c r="AE5" s="1305"/>
      <c r="AF5" s="1305"/>
      <c r="AG5" s="1305"/>
      <c r="AH5" s="127"/>
      <c r="AI5" s="123"/>
      <c r="AJ5" s="128"/>
      <c r="AM5" s="198"/>
      <c r="AN5" s="99" t="s">
        <v>71</v>
      </c>
      <c r="AO5" s="99"/>
      <c r="AP5" s="99"/>
      <c r="AQ5" s="99"/>
      <c r="AR5" s="199"/>
    </row>
    <row r="6" spans="3:44" ht="12">
      <c r="C6" s="106"/>
      <c r="D6" s="30"/>
      <c r="E6" s="30"/>
      <c r="F6" s="30"/>
      <c r="G6" s="30"/>
      <c r="H6" s="30"/>
      <c r="I6" s="30"/>
      <c r="J6" s="30"/>
      <c r="K6" s="30"/>
      <c r="L6" s="30"/>
      <c r="M6" s="107"/>
      <c r="P6" s="198"/>
      <c r="Q6" s="99"/>
      <c r="R6" s="99"/>
      <c r="S6" s="99"/>
      <c r="T6" s="99"/>
      <c r="U6" s="199"/>
      <c r="Z6" s="106"/>
      <c r="AA6" s="129"/>
      <c r="AB6" s="129"/>
      <c r="AC6" s="129"/>
      <c r="AD6" s="129"/>
      <c r="AE6" s="129"/>
      <c r="AF6" s="129"/>
      <c r="AG6" s="148"/>
      <c r="AH6" s="129"/>
      <c r="AI6" s="129"/>
      <c r="AJ6" s="107"/>
      <c r="AM6" s="198"/>
      <c r="AN6" s="99"/>
      <c r="AO6" s="99"/>
      <c r="AP6" s="99"/>
      <c r="AQ6" s="99"/>
      <c r="AR6" s="199"/>
    </row>
    <row r="7" spans="3:44" ht="12">
      <c r="C7" s="70"/>
      <c r="M7" s="71"/>
      <c r="N7" s="200"/>
      <c r="O7" s="80"/>
      <c r="P7" s="198"/>
      <c r="Q7" s="100" t="s">
        <v>75</v>
      </c>
      <c r="R7" s="99" t="s">
        <v>76</v>
      </c>
      <c r="S7" s="99"/>
      <c r="T7" s="99"/>
      <c r="U7" s="199"/>
      <c r="Z7" s="70"/>
      <c r="AJ7" s="71"/>
      <c r="AK7" s="200"/>
      <c r="AL7" s="80"/>
      <c r="AM7" s="198"/>
      <c r="AN7" s="100" t="s">
        <v>75</v>
      </c>
      <c r="AO7" s="99" t="s">
        <v>79</v>
      </c>
      <c r="AP7" s="99"/>
      <c r="AQ7" s="99"/>
      <c r="AR7" s="199"/>
    </row>
    <row r="8" spans="3:44" ht="12">
      <c r="C8" s="70"/>
      <c r="D8" s="30"/>
      <c r="E8" s="30"/>
      <c r="F8" s="30"/>
      <c r="G8" s="30"/>
      <c r="H8" s="30"/>
      <c r="I8" s="30"/>
      <c r="J8" s="136"/>
      <c r="K8" s="136"/>
      <c r="L8" s="30"/>
      <c r="M8" s="71"/>
      <c r="P8" s="198"/>
      <c r="Q8" s="99"/>
      <c r="R8" s="99"/>
      <c r="S8" s="99"/>
      <c r="T8" s="99"/>
      <c r="U8" s="199"/>
      <c r="Z8" s="70"/>
      <c r="AE8" s="29"/>
      <c r="AJ8" s="71"/>
      <c r="AM8" s="198"/>
      <c r="AN8" s="99"/>
      <c r="AO8" s="99"/>
      <c r="AP8" s="99"/>
      <c r="AQ8" s="99"/>
      <c r="AR8" s="199"/>
    </row>
    <row r="9" spans="3:44" ht="12">
      <c r="C9" s="70"/>
      <c r="D9" s="1335" t="s">
        <v>721</v>
      </c>
      <c r="E9" s="1335" t="s">
        <v>72</v>
      </c>
      <c r="F9" s="1335" t="s">
        <v>14</v>
      </c>
      <c r="G9" s="1335" t="s">
        <v>73</v>
      </c>
      <c r="H9" s="184"/>
      <c r="I9" s="1335" t="s">
        <v>721</v>
      </c>
      <c r="J9" s="1335" t="s">
        <v>74</v>
      </c>
      <c r="K9" s="1335" t="s">
        <v>14</v>
      </c>
      <c r="L9" s="1335" t="s">
        <v>73</v>
      </c>
      <c r="M9" s="71"/>
      <c r="P9" s="198"/>
      <c r="Q9" s="100" t="s">
        <v>82</v>
      </c>
      <c r="R9" s="99" t="s">
        <v>83</v>
      </c>
      <c r="S9" s="99"/>
      <c r="T9" s="99"/>
      <c r="U9" s="199"/>
      <c r="Z9" s="70"/>
      <c r="AA9" s="1335" t="s">
        <v>721</v>
      </c>
      <c r="AB9" s="1477" t="s">
        <v>77</v>
      </c>
      <c r="AC9" s="1358" t="s">
        <v>14</v>
      </c>
      <c r="AD9" s="1335" t="s">
        <v>73</v>
      </c>
      <c r="AE9" s="184"/>
      <c r="AF9" s="1335" t="s">
        <v>721</v>
      </c>
      <c r="AG9" s="182" t="s">
        <v>78</v>
      </c>
      <c r="AH9" s="1358" t="s">
        <v>14</v>
      </c>
      <c r="AI9" s="1335" t="s">
        <v>73</v>
      </c>
      <c r="AJ9" s="71"/>
      <c r="AM9" s="198"/>
      <c r="AN9" s="100" t="s">
        <v>82</v>
      </c>
      <c r="AO9" s="99" t="s">
        <v>305</v>
      </c>
      <c r="AP9" s="99"/>
      <c r="AQ9" s="99"/>
      <c r="AR9" s="199"/>
    </row>
    <row r="10" spans="3:44" ht="12" customHeight="1">
      <c r="C10" s="70"/>
      <c r="D10" s="1335"/>
      <c r="E10" s="1335"/>
      <c r="F10" s="1335"/>
      <c r="G10" s="1335"/>
      <c r="H10" s="208"/>
      <c r="I10" s="1335"/>
      <c r="J10" s="1335"/>
      <c r="K10" s="1335"/>
      <c r="L10" s="1335"/>
      <c r="M10" s="71"/>
      <c r="P10" s="198"/>
      <c r="Q10" s="99"/>
      <c r="R10" s="99"/>
      <c r="S10" s="99"/>
      <c r="T10" s="99"/>
      <c r="U10" s="199"/>
      <c r="Z10" s="70"/>
      <c r="AA10" s="1335"/>
      <c r="AB10" s="1478"/>
      <c r="AC10" s="1358"/>
      <c r="AD10" s="1335"/>
      <c r="AE10" s="184"/>
      <c r="AF10" s="1335"/>
      <c r="AG10" s="183" t="s">
        <v>81</v>
      </c>
      <c r="AH10" s="1358"/>
      <c r="AI10" s="1335"/>
      <c r="AJ10" s="71"/>
      <c r="AM10" s="198"/>
      <c r="AN10" s="99"/>
      <c r="AO10" s="99"/>
      <c r="AP10" s="99"/>
      <c r="AQ10" s="99"/>
      <c r="AR10" s="199"/>
    </row>
    <row r="11" spans="1:44" ht="12">
      <c r="A11" s="201" t="s">
        <v>80</v>
      </c>
      <c r="C11" s="70"/>
      <c r="D11" s="30"/>
      <c r="E11" s="30"/>
      <c r="F11" s="30"/>
      <c r="G11" s="30"/>
      <c r="H11" s="30"/>
      <c r="I11" s="30"/>
      <c r="J11" s="30"/>
      <c r="K11" s="30"/>
      <c r="L11" s="30"/>
      <c r="M11" s="71"/>
      <c r="P11" s="198"/>
      <c r="Q11" s="99" t="s">
        <v>306</v>
      </c>
      <c r="R11" s="99"/>
      <c r="S11" s="99"/>
      <c r="T11" s="99"/>
      <c r="U11" s="199"/>
      <c r="X11" s="201" t="s">
        <v>80</v>
      </c>
      <c r="Z11" s="70"/>
      <c r="AA11" s="29"/>
      <c r="AE11" s="29"/>
      <c r="AI11" s="79"/>
      <c r="AJ11" s="71"/>
      <c r="AM11" s="198"/>
      <c r="AN11" s="99" t="s">
        <v>307</v>
      </c>
      <c r="AO11" s="99"/>
      <c r="AP11" s="99"/>
      <c r="AQ11" s="99"/>
      <c r="AR11" s="199"/>
    </row>
    <row r="12" spans="1:44" ht="12">
      <c r="A12" s="202">
        <v>1</v>
      </c>
      <c r="C12" s="70"/>
      <c r="D12" s="567">
        <v>11</v>
      </c>
      <c r="E12" s="875">
        <f>VLOOKUP("TV EMERG/TEMP 01 01H",RHE,10,FALSE)</f>
        <v>45.51</v>
      </c>
      <c r="F12" s="875">
        <f aca="true" t="shared" si="0" ref="F12:F21">PARCAUT_MAG</f>
        <v>0</v>
      </c>
      <c r="G12" s="560" t="s">
        <v>678</v>
      </c>
      <c r="H12" s="112"/>
      <c r="I12" s="567">
        <v>51</v>
      </c>
      <c r="J12" s="875">
        <f>VLOOKUP("TV EMERG/TEMP 02 01H",RHE,10,FALSE)</f>
        <v>56.14</v>
      </c>
      <c r="K12" s="875">
        <f aca="true" t="shared" si="1" ref="K12:K21">F12</f>
        <v>0</v>
      </c>
      <c r="L12" s="560" t="s">
        <v>678</v>
      </c>
      <c r="M12" s="71"/>
      <c r="P12" s="198"/>
      <c r="Q12" s="99"/>
      <c r="R12" s="99" t="s">
        <v>308</v>
      </c>
      <c r="S12" s="99"/>
      <c r="T12" s="99"/>
      <c r="U12" s="199"/>
      <c r="X12" s="202">
        <v>1</v>
      </c>
      <c r="Z12" s="70"/>
      <c r="AA12" s="559" t="s">
        <v>1409</v>
      </c>
      <c r="AB12" s="875">
        <f>VLOOKUP("TV EMERG/TEMP 03 01H",RHE,10,FALSE)</f>
        <v>39.01</v>
      </c>
      <c r="AC12" s="875">
        <f aca="true" t="shared" si="2" ref="AC12:AC21">PARCAUT_MAG</f>
        <v>0</v>
      </c>
      <c r="AD12" s="560" t="s">
        <v>678</v>
      </c>
      <c r="AE12" s="112"/>
      <c r="AF12" s="564">
        <f aca="true" t="shared" si="3" ref="AF12:AF21">+X12+$X$54</f>
        <v>41</v>
      </c>
      <c r="AG12" s="875">
        <f>VLOOKUP("TV EMERG/TEMP 04 01H",RHE,10,FALSE)</f>
        <v>48.12</v>
      </c>
      <c r="AH12" s="875">
        <f aca="true" t="shared" si="4" ref="AH12:AH20">AC12</f>
        <v>0</v>
      </c>
      <c r="AI12" s="560" t="s">
        <v>678</v>
      </c>
      <c r="AJ12" s="71"/>
      <c r="AM12" s="198"/>
      <c r="AN12" s="99"/>
      <c r="AO12" s="99" t="s">
        <v>309</v>
      </c>
      <c r="AP12" s="99"/>
      <c r="AQ12" s="99"/>
      <c r="AR12" s="199"/>
    </row>
    <row r="13" spans="1:44" ht="12">
      <c r="A13" s="202">
        <v>2</v>
      </c>
      <c r="C13" s="70"/>
      <c r="D13" s="568">
        <v>12</v>
      </c>
      <c r="E13" s="876">
        <f aca="true" t="shared" si="5" ref="E13:E21">M2_01H*A13</f>
        <v>91.02</v>
      </c>
      <c r="F13" s="876">
        <f t="shared" si="0"/>
        <v>0</v>
      </c>
      <c r="G13" s="561" t="s">
        <v>643</v>
      </c>
      <c r="H13" s="112"/>
      <c r="I13" s="568">
        <v>52</v>
      </c>
      <c r="J13" s="876">
        <f aca="true" t="shared" si="6" ref="J13:J21">M4_01H*A13</f>
        <v>112.28</v>
      </c>
      <c r="K13" s="876">
        <f t="shared" si="1"/>
        <v>0</v>
      </c>
      <c r="L13" s="561" t="s">
        <v>643</v>
      </c>
      <c r="M13" s="71"/>
      <c r="P13" s="198"/>
      <c r="Q13" s="99"/>
      <c r="R13" s="99"/>
      <c r="S13" s="99"/>
      <c r="T13" s="99"/>
      <c r="U13" s="199"/>
      <c r="X13" s="202">
        <v>2</v>
      </c>
      <c r="Z13" s="70"/>
      <c r="AA13" s="463" t="s">
        <v>1410</v>
      </c>
      <c r="AB13" s="876">
        <f aca="true" t="shared" si="7" ref="AB13:AB21">M2_18*X13</f>
        <v>78.02</v>
      </c>
      <c r="AC13" s="876">
        <f t="shared" si="2"/>
        <v>0</v>
      </c>
      <c r="AD13" s="561" t="s">
        <v>643</v>
      </c>
      <c r="AE13" s="112"/>
      <c r="AF13" s="565">
        <f t="shared" si="3"/>
        <v>42</v>
      </c>
      <c r="AG13" s="876">
        <f aca="true" t="shared" si="8" ref="AG13:AG21">M4_18*X13</f>
        <v>96.24</v>
      </c>
      <c r="AH13" s="876">
        <f t="shared" si="4"/>
        <v>0</v>
      </c>
      <c r="AI13" s="561" t="s">
        <v>643</v>
      </c>
      <c r="AJ13" s="71"/>
      <c r="AM13" s="198"/>
      <c r="AN13" s="99"/>
      <c r="AO13" s="99"/>
      <c r="AP13" s="99"/>
      <c r="AQ13" s="99"/>
      <c r="AR13" s="199"/>
    </row>
    <row r="14" spans="1:44" ht="12.75" thickBot="1">
      <c r="A14" s="202">
        <v>3</v>
      </c>
      <c r="C14" s="70"/>
      <c r="D14" s="568">
        <v>13</v>
      </c>
      <c r="E14" s="876">
        <f t="shared" si="5"/>
        <v>136.53</v>
      </c>
      <c r="F14" s="876">
        <f t="shared" si="0"/>
        <v>0</v>
      </c>
      <c r="G14" s="561" t="s">
        <v>645</v>
      </c>
      <c r="H14" s="112"/>
      <c r="I14" s="568">
        <v>53</v>
      </c>
      <c r="J14" s="876">
        <f t="shared" si="6"/>
        <v>168.42000000000002</v>
      </c>
      <c r="K14" s="876">
        <f t="shared" si="1"/>
        <v>0</v>
      </c>
      <c r="L14" s="561" t="s">
        <v>645</v>
      </c>
      <c r="M14" s="71"/>
      <c r="P14" s="203"/>
      <c r="Q14" s="204"/>
      <c r="R14" s="204"/>
      <c r="S14" s="204"/>
      <c r="T14" s="204"/>
      <c r="U14" s="205"/>
      <c r="X14" s="202">
        <v>3</v>
      </c>
      <c r="Z14" s="70"/>
      <c r="AA14" s="463" t="s">
        <v>1411</v>
      </c>
      <c r="AB14" s="876">
        <f t="shared" si="7"/>
        <v>117.03</v>
      </c>
      <c r="AC14" s="876">
        <f t="shared" si="2"/>
        <v>0</v>
      </c>
      <c r="AD14" s="561" t="s">
        <v>645</v>
      </c>
      <c r="AE14" s="112"/>
      <c r="AF14" s="565">
        <f t="shared" si="3"/>
        <v>43</v>
      </c>
      <c r="AG14" s="876">
        <f t="shared" si="8"/>
        <v>144.35999999999999</v>
      </c>
      <c r="AH14" s="876">
        <f t="shared" si="4"/>
        <v>0</v>
      </c>
      <c r="AI14" s="561" t="s">
        <v>645</v>
      </c>
      <c r="AJ14" s="71"/>
      <c r="AM14" s="203"/>
      <c r="AN14" s="204"/>
      <c r="AO14" s="204"/>
      <c r="AP14" s="204"/>
      <c r="AQ14" s="204"/>
      <c r="AR14" s="205"/>
    </row>
    <row r="15" spans="1:36" ht="12">
      <c r="A15" s="202">
        <v>4</v>
      </c>
      <c r="C15" s="70"/>
      <c r="D15" s="568">
        <v>14</v>
      </c>
      <c r="E15" s="876">
        <f t="shared" si="5"/>
        <v>182.04</v>
      </c>
      <c r="F15" s="876">
        <f t="shared" si="0"/>
        <v>0</v>
      </c>
      <c r="G15" s="561" t="s">
        <v>646</v>
      </c>
      <c r="H15" s="112"/>
      <c r="I15" s="568">
        <v>54</v>
      </c>
      <c r="J15" s="876">
        <f t="shared" si="6"/>
        <v>224.56</v>
      </c>
      <c r="K15" s="876">
        <f t="shared" si="1"/>
        <v>0</v>
      </c>
      <c r="L15" s="561" t="s">
        <v>646</v>
      </c>
      <c r="M15" s="71"/>
      <c r="X15" s="202">
        <v>4</v>
      </c>
      <c r="Z15" s="70"/>
      <c r="AA15" s="463" t="s">
        <v>1412</v>
      </c>
      <c r="AB15" s="876">
        <f t="shared" si="7"/>
        <v>156.04</v>
      </c>
      <c r="AC15" s="876">
        <f t="shared" si="2"/>
        <v>0</v>
      </c>
      <c r="AD15" s="561" t="s">
        <v>646</v>
      </c>
      <c r="AE15" s="112"/>
      <c r="AF15" s="565">
        <f t="shared" si="3"/>
        <v>44</v>
      </c>
      <c r="AG15" s="876">
        <f t="shared" si="8"/>
        <v>192.48</v>
      </c>
      <c r="AH15" s="876">
        <f t="shared" si="4"/>
        <v>0</v>
      </c>
      <c r="AI15" s="561" t="s">
        <v>646</v>
      </c>
      <c r="AJ15" s="71"/>
    </row>
    <row r="16" spans="1:36" ht="12">
      <c r="A16" s="202">
        <v>5</v>
      </c>
      <c r="C16" s="70"/>
      <c r="D16" s="568">
        <v>15</v>
      </c>
      <c r="E16" s="876">
        <f t="shared" si="5"/>
        <v>227.54999999999998</v>
      </c>
      <c r="F16" s="876">
        <f t="shared" si="0"/>
        <v>0</v>
      </c>
      <c r="G16" s="561" t="s">
        <v>647</v>
      </c>
      <c r="H16" s="112"/>
      <c r="I16" s="568">
        <v>55</v>
      </c>
      <c r="J16" s="876">
        <f t="shared" si="6"/>
        <v>280.7</v>
      </c>
      <c r="K16" s="876">
        <f t="shared" si="1"/>
        <v>0</v>
      </c>
      <c r="L16" s="561" t="s">
        <v>647</v>
      </c>
      <c r="M16" s="71"/>
      <c r="X16" s="202">
        <v>5</v>
      </c>
      <c r="Z16" s="70"/>
      <c r="AA16" s="463" t="s">
        <v>1413</v>
      </c>
      <c r="AB16" s="876">
        <f t="shared" si="7"/>
        <v>195.04999999999998</v>
      </c>
      <c r="AC16" s="876">
        <f t="shared" si="2"/>
        <v>0</v>
      </c>
      <c r="AD16" s="561" t="s">
        <v>647</v>
      </c>
      <c r="AE16" s="112"/>
      <c r="AF16" s="565">
        <f t="shared" si="3"/>
        <v>45</v>
      </c>
      <c r="AG16" s="876">
        <f t="shared" si="8"/>
        <v>240.6</v>
      </c>
      <c r="AH16" s="876">
        <f t="shared" si="4"/>
        <v>0</v>
      </c>
      <c r="AI16" s="561" t="s">
        <v>647</v>
      </c>
      <c r="AJ16" s="71"/>
    </row>
    <row r="17" spans="1:36" ht="12">
      <c r="A17" s="202">
        <v>6</v>
      </c>
      <c r="C17" s="70"/>
      <c r="D17" s="568">
        <v>16</v>
      </c>
      <c r="E17" s="876">
        <f t="shared" si="5"/>
        <v>273.06</v>
      </c>
      <c r="F17" s="876">
        <f t="shared" si="0"/>
        <v>0</v>
      </c>
      <c r="G17" s="561" t="s">
        <v>648</v>
      </c>
      <c r="H17" s="112"/>
      <c r="I17" s="568">
        <v>56</v>
      </c>
      <c r="J17" s="876">
        <f t="shared" si="6"/>
        <v>336.84000000000003</v>
      </c>
      <c r="K17" s="876">
        <f t="shared" si="1"/>
        <v>0</v>
      </c>
      <c r="L17" s="561" t="s">
        <v>648</v>
      </c>
      <c r="M17" s="71"/>
      <c r="X17" s="202">
        <v>6</v>
      </c>
      <c r="Z17" s="70"/>
      <c r="AA17" s="463" t="s">
        <v>1414</v>
      </c>
      <c r="AB17" s="876">
        <f t="shared" si="7"/>
        <v>234.06</v>
      </c>
      <c r="AC17" s="876">
        <f t="shared" si="2"/>
        <v>0</v>
      </c>
      <c r="AD17" s="561" t="s">
        <v>648</v>
      </c>
      <c r="AE17" s="112"/>
      <c r="AF17" s="565">
        <f t="shared" si="3"/>
        <v>46</v>
      </c>
      <c r="AG17" s="876">
        <f t="shared" si="8"/>
        <v>288.71999999999997</v>
      </c>
      <c r="AH17" s="876">
        <f t="shared" si="4"/>
        <v>0</v>
      </c>
      <c r="AI17" s="561" t="s">
        <v>648</v>
      </c>
      <c r="AJ17" s="71"/>
    </row>
    <row r="18" spans="1:36" ht="12">
      <c r="A18" s="202">
        <v>7</v>
      </c>
      <c r="C18" s="70"/>
      <c r="D18" s="568">
        <v>17</v>
      </c>
      <c r="E18" s="876">
        <f t="shared" si="5"/>
        <v>318.57</v>
      </c>
      <c r="F18" s="876">
        <f t="shared" si="0"/>
        <v>0</v>
      </c>
      <c r="G18" s="561" t="s">
        <v>649</v>
      </c>
      <c r="H18" s="112"/>
      <c r="I18" s="568">
        <v>57</v>
      </c>
      <c r="J18" s="876">
        <f t="shared" si="6"/>
        <v>392.98</v>
      </c>
      <c r="K18" s="876">
        <f t="shared" si="1"/>
        <v>0</v>
      </c>
      <c r="L18" s="561" t="s">
        <v>649</v>
      </c>
      <c r="M18" s="71"/>
      <c r="X18" s="202">
        <v>7</v>
      </c>
      <c r="Z18" s="70"/>
      <c r="AA18" s="463" t="s">
        <v>1415</v>
      </c>
      <c r="AB18" s="876">
        <f t="shared" si="7"/>
        <v>273.07</v>
      </c>
      <c r="AC18" s="876">
        <f t="shared" si="2"/>
        <v>0</v>
      </c>
      <c r="AD18" s="561" t="s">
        <v>649</v>
      </c>
      <c r="AE18" s="112"/>
      <c r="AF18" s="565">
        <f t="shared" si="3"/>
        <v>47</v>
      </c>
      <c r="AG18" s="876">
        <f t="shared" si="8"/>
        <v>336.84</v>
      </c>
      <c r="AH18" s="876">
        <f t="shared" si="4"/>
        <v>0</v>
      </c>
      <c r="AI18" s="561" t="s">
        <v>649</v>
      </c>
      <c r="AJ18" s="71"/>
    </row>
    <row r="19" spans="1:36" ht="12">
      <c r="A19" s="202">
        <v>8</v>
      </c>
      <c r="C19" s="70"/>
      <c r="D19" s="568">
        <v>18</v>
      </c>
      <c r="E19" s="876">
        <f t="shared" si="5"/>
        <v>364.08</v>
      </c>
      <c r="F19" s="876">
        <f t="shared" si="0"/>
        <v>0</v>
      </c>
      <c r="G19" s="561" t="s">
        <v>650</v>
      </c>
      <c r="H19" s="112"/>
      <c r="I19" s="568">
        <v>58</v>
      </c>
      <c r="J19" s="876">
        <f t="shared" si="6"/>
        <v>449.12</v>
      </c>
      <c r="K19" s="876">
        <f t="shared" si="1"/>
        <v>0</v>
      </c>
      <c r="L19" s="561" t="s">
        <v>650</v>
      </c>
      <c r="M19" s="71"/>
      <c r="X19" s="202">
        <v>8</v>
      </c>
      <c r="Z19" s="70"/>
      <c r="AA19" s="463" t="s">
        <v>1416</v>
      </c>
      <c r="AB19" s="876">
        <f t="shared" si="7"/>
        <v>312.08</v>
      </c>
      <c r="AC19" s="876">
        <f t="shared" si="2"/>
        <v>0</v>
      </c>
      <c r="AD19" s="561" t="s">
        <v>650</v>
      </c>
      <c r="AE19" s="112"/>
      <c r="AF19" s="565">
        <f t="shared" si="3"/>
        <v>48</v>
      </c>
      <c r="AG19" s="876">
        <f t="shared" si="8"/>
        <v>384.96</v>
      </c>
      <c r="AH19" s="876">
        <f t="shared" si="4"/>
        <v>0</v>
      </c>
      <c r="AI19" s="561" t="s">
        <v>650</v>
      </c>
      <c r="AJ19" s="71"/>
    </row>
    <row r="20" spans="1:36" ht="12">
      <c r="A20" s="202">
        <v>9</v>
      </c>
      <c r="C20" s="70"/>
      <c r="D20" s="568">
        <v>19</v>
      </c>
      <c r="E20" s="876">
        <f t="shared" si="5"/>
        <v>409.59</v>
      </c>
      <c r="F20" s="876">
        <f t="shared" si="0"/>
        <v>0</v>
      </c>
      <c r="G20" s="561" t="s">
        <v>651</v>
      </c>
      <c r="H20" s="112"/>
      <c r="I20" s="568">
        <v>59</v>
      </c>
      <c r="J20" s="876">
        <f t="shared" si="6"/>
        <v>505.26</v>
      </c>
      <c r="K20" s="876">
        <f t="shared" si="1"/>
        <v>0</v>
      </c>
      <c r="L20" s="561" t="s">
        <v>651</v>
      </c>
      <c r="M20" s="71"/>
      <c r="X20" s="202">
        <v>9</v>
      </c>
      <c r="Z20" s="70"/>
      <c r="AA20" s="463" t="s">
        <v>1417</v>
      </c>
      <c r="AB20" s="876">
        <f t="shared" si="7"/>
        <v>351.09</v>
      </c>
      <c r="AC20" s="876">
        <f t="shared" si="2"/>
        <v>0</v>
      </c>
      <c r="AD20" s="561" t="s">
        <v>651</v>
      </c>
      <c r="AE20" s="112"/>
      <c r="AF20" s="565">
        <f t="shared" si="3"/>
        <v>49</v>
      </c>
      <c r="AG20" s="876">
        <f t="shared" si="8"/>
        <v>433.08</v>
      </c>
      <c r="AH20" s="876">
        <f t="shared" si="4"/>
        <v>0</v>
      </c>
      <c r="AI20" s="561" t="s">
        <v>651</v>
      </c>
      <c r="AJ20" s="71"/>
    </row>
    <row r="21" spans="1:36" ht="12">
      <c r="A21" s="202">
        <v>10</v>
      </c>
      <c r="C21" s="70"/>
      <c r="D21" s="569">
        <v>20</v>
      </c>
      <c r="E21" s="877">
        <f t="shared" si="5"/>
        <v>455.09999999999997</v>
      </c>
      <c r="F21" s="877">
        <f t="shared" si="0"/>
        <v>0</v>
      </c>
      <c r="G21" s="563" t="s">
        <v>7</v>
      </c>
      <c r="H21" s="112"/>
      <c r="I21" s="569">
        <v>60</v>
      </c>
      <c r="J21" s="877">
        <f t="shared" si="6"/>
        <v>561.4</v>
      </c>
      <c r="K21" s="877">
        <f t="shared" si="1"/>
        <v>0</v>
      </c>
      <c r="L21" s="563" t="s">
        <v>7</v>
      </c>
      <c r="M21" s="71"/>
      <c r="X21" s="202">
        <v>10</v>
      </c>
      <c r="Z21" s="70"/>
      <c r="AA21" s="562" t="s">
        <v>1292</v>
      </c>
      <c r="AB21" s="877">
        <f t="shared" si="7"/>
        <v>390.09999999999997</v>
      </c>
      <c r="AC21" s="877">
        <f t="shared" si="2"/>
        <v>0</v>
      </c>
      <c r="AD21" s="563" t="s">
        <v>7</v>
      </c>
      <c r="AE21" s="112"/>
      <c r="AF21" s="566">
        <f t="shared" si="3"/>
        <v>50</v>
      </c>
      <c r="AG21" s="877">
        <f t="shared" si="8"/>
        <v>481.2</v>
      </c>
      <c r="AH21" s="877">
        <f>AC21</f>
        <v>0</v>
      </c>
      <c r="AI21" s="563" t="s">
        <v>7</v>
      </c>
      <c r="AJ21" s="71"/>
    </row>
    <row r="22" spans="3:36" ht="12">
      <c r="C22" s="70"/>
      <c r="D22" s="29"/>
      <c r="E22" s="869"/>
      <c r="F22" s="869"/>
      <c r="G22" s="29"/>
      <c r="H22" s="112"/>
      <c r="I22" s="29"/>
      <c r="J22" s="869"/>
      <c r="K22" s="869"/>
      <c r="L22" s="29"/>
      <c r="M22" s="71"/>
      <c r="Z22" s="70"/>
      <c r="AA22" s="29"/>
      <c r="AB22" s="869"/>
      <c r="AC22" s="869"/>
      <c r="AD22" s="29"/>
      <c r="AE22" s="112"/>
      <c r="AF22" s="29"/>
      <c r="AG22" s="869"/>
      <c r="AH22" s="869"/>
      <c r="AI22" s="29"/>
      <c r="AJ22" s="71"/>
    </row>
    <row r="23" spans="1:36" ht="12">
      <c r="A23" s="202">
        <v>11</v>
      </c>
      <c r="C23" s="70"/>
      <c r="D23" s="567">
        <v>21</v>
      </c>
      <c r="E23" s="875">
        <f aca="true" t="shared" si="9" ref="E23:E32">M2_01H*A23</f>
        <v>500.60999999999996</v>
      </c>
      <c r="F23" s="875">
        <f aca="true" t="shared" si="10" ref="F23:F32">PARCAUT_MAG</f>
        <v>0</v>
      </c>
      <c r="G23" s="560" t="s">
        <v>652</v>
      </c>
      <c r="H23" s="112"/>
      <c r="I23" s="567">
        <v>61</v>
      </c>
      <c r="J23" s="875">
        <f aca="true" t="shared" si="11" ref="J23:J32">M4_01H*A23</f>
        <v>617.54</v>
      </c>
      <c r="K23" s="875">
        <f aca="true" t="shared" si="12" ref="K23:K32">F23</f>
        <v>0</v>
      </c>
      <c r="L23" s="560" t="s">
        <v>652</v>
      </c>
      <c r="M23" s="71"/>
      <c r="X23" s="202">
        <v>11</v>
      </c>
      <c r="Z23" s="70"/>
      <c r="AA23" s="559" t="s">
        <v>1293</v>
      </c>
      <c r="AB23" s="875">
        <f aca="true" t="shared" si="13" ref="AB23:AB32">M2_18*X23</f>
        <v>429.10999999999996</v>
      </c>
      <c r="AC23" s="875">
        <f aca="true" t="shared" si="14" ref="AC23:AC32">PARCAUT_MAG</f>
        <v>0</v>
      </c>
      <c r="AD23" s="560" t="s">
        <v>652</v>
      </c>
      <c r="AE23" s="112"/>
      <c r="AF23" s="564">
        <f aca="true" t="shared" si="15" ref="AF23:AF32">+X23+$X$54</f>
        <v>51</v>
      </c>
      <c r="AG23" s="875">
        <f aca="true" t="shared" si="16" ref="AG23:AG32">M4_18*X23</f>
        <v>529.3199999999999</v>
      </c>
      <c r="AH23" s="875">
        <f aca="true" t="shared" si="17" ref="AH23:AH32">AC23</f>
        <v>0</v>
      </c>
      <c r="AI23" s="560" t="s">
        <v>652</v>
      </c>
      <c r="AJ23" s="71"/>
    </row>
    <row r="24" spans="1:36" ht="12">
      <c r="A24" s="202">
        <v>12</v>
      </c>
      <c r="C24" s="70"/>
      <c r="D24" s="568">
        <v>22</v>
      </c>
      <c r="E24" s="876">
        <f t="shared" si="9"/>
        <v>546.12</v>
      </c>
      <c r="F24" s="876">
        <f t="shared" si="10"/>
        <v>0</v>
      </c>
      <c r="G24" s="561" t="s">
        <v>653</v>
      </c>
      <c r="H24" s="112"/>
      <c r="I24" s="568">
        <v>62</v>
      </c>
      <c r="J24" s="876">
        <f t="shared" si="11"/>
        <v>673.6800000000001</v>
      </c>
      <c r="K24" s="876">
        <f t="shared" si="12"/>
        <v>0</v>
      </c>
      <c r="L24" s="561" t="s">
        <v>653</v>
      </c>
      <c r="M24" s="71"/>
      <c r="X24" s="202">
        <v>12</v>
      </c>
      <c r="Z24" s="70"/>
      <c r="AA24" s="463" t="s">
        <v>1294</v>
      </c>
      <c r="AB24" s="876">
        <f t="shared" si="13"/>
        <v>468.12</v>
      </c>
      <c r="AC24" s="876">
        <f t="shared" si="14"/>
        <v>0</v>
      </c>
      <c r="AD24" s="561" t="s">
        <v>653</v>
      </c>
      <c r="AE24" s="112"/>
      <c r="AF24" s="565">
        <f t="shared" si="15"/>
        <v>52</v>
      </c>
      <c r="AG24" s="876">
        <f t="shared" si="16"/>
        <v>577.4399999999999</v>
      </c>
      <c r="AH24" s="876">
        <f t="shared" si="17"/>
        <v>0</v>
      </c>
      <c r="AI24" s="561" t="s">
        <v>653</v>
      </c>
      <c r="AJ24" s="71"/>
    </row>
    <row r="25" spans="1:36" ht="12">
      <c r="A25" s="202">
        <v>13</v>
      </c>
      <c r="C25" s="70"/>
      <c r="D25" s="568">
        <v>23</v>
      </c>
      <c r="E25" s="876">
        <f t="shared" si="9"/>
        <v>591.63</v>
      </c>
      <c r="F25" s="876">
        <f t="shared" si="10"/>
        <v>0</v>
      </c>
      <c r="G25" s="561" t="s">
        <v>644</v>
      </c>
      <c r="H25" s="112"/>
      <c r="I25" s="568">
        <v>63</v>
      </c>
      <c r="J25" s="876">
        <f t="shared" si="11"/>
        <v>729.82</v>
      </c>
      <c r="K25" s="876">
        <f t="shared" si="12"/>
        <v>0</v>
      </c>
      <c r="L25" s="561" t="s">
        <v>644</v>
      </c>
      <c r="M25" s="71"/>
      <c r="X25" s="202">
        <v>13</v>
      </c>
      <c r="Z25" s="70"/>
      <c r="AA25" s="463" t="s">
        <v>1295</v>
      </c>
      <c r="AB25" s="876">
        <f t="shared" si="13"/>
        <v>507.13</v>
      </c>
      <c r="AC25" s="876">
        <f t="shared" si="14"/>
        <v>0</v>
      </c>
      <c r="AD25" s="561" t="s">
        <v>644</v>
      </c>
      <c r="AE25" s="112"/>
      <c r="AF25" s="565">
        <f t="shared" si="15"/>
        <v>53</v>
      </c>
      <c r="AG25" s="876">
        <f t="shared" si="16"/>
        <v>625.56</v>
      </c>
      <c r="AH25" s="876">
        <f t="shared" si="17"/>
        <v>0</v>
      </c>
      <c r="AI25" s="561" t="s">
        <v>644</v>
      </c>
      <c r="AJ25" s="71"/>
    </row>
    <row r="26" spans="1:36" ht="12">
      <c r="A26" s="202">
        <v>14</v>
      </c>
      <c r="C26" s="70"/>
      <c r="D26" s="568">
        <v>24</v>
      </c>
      <c r="E26" s="876">
        <f t="shared" si="9"/>
        <v>637.14</v>
      </c>
      <c r="F26" s="876">
        <f t="shared" si="10"/>
        <v>0</v>
      </c>
      <c r="G26" s="561" t="s">
        <v>654</v>
      </c>
      <c r="H26" s="112"/>
      <c r="I26" s="568">
        <v>64</v>
      </c>
      <c r="J26" s="876">
        <f t="shared" si="11"/>
        <v>785.96</v>
      </c>
      <c r="K26" s="876">
        <f t="shared" si="12"/>
        <v>0</v>
      </c>
      <c r="L26" s="561" t="s">
        <v>654</v>
      </c>
      <c r="M26" s="71"/>
      <c r="X26" s="202">
        <v>14</v>
      </c>
      <c r="Z26" s="70"/>
      <c r="AA26" s="463" t="s">
        <v>1296</v>
      </c>
      <c r="AB26" s="876">
        <f t="shared" si="13"/>
        <v>546.14</v>
      </c>
      <c r="AC26" s="876">
        <f t="shared" si="14"/>
        <v>0</v>
      </c>
      <c r="AD26" s="561" t="s">
        <v>654</v>
      </c>
      <c r="AE26" s="112"/>
      <c r="AF26" s="565">
        <f t="shared" si="15"/>
        <v>54</v>
      </c>
      <c r="AG26" s="876">
        <f t="shared" si="16"/>
        <v>673.68</v>
      </c>
      <c r="AH26" s="876">
        <f t="shared" si="17"/>
        <v>0</v>
      </c>
      <c r="AI26" s="561" t="s">
        <v>654</v>
      </c>
      <c r="AJ26" s="71"/>
    </row>
    <row r="27" spans="1:37" ht="12">
      <c r="A27" s="202">
        <v>15</v>
      </c>
      <c r="C27" s="70"/>
      <c r="D27" s="568">
        <v>25</v>
      </c>
      <c r="E27" s="876">
        <f t="shared" si="9"/>
        <v>682.65</v>
      </c>
      <c r="F27" s="876">
        <f t="shared" si="10"/>
        <v>0</v>
      </c>
      <c r="G27" s="561" t="s">
        <v>655</v>
      </c>
      <c r="H27" s="112"/>
      <c r="I27" s="568">
        <v>65</v>
      </c>
      <c r="J27" s="876">
        <f t="shared" si="11"/>
        <v>842.1</v>
      </c>
      <c r="K27" s="876">
        <f t="shared" si="12"/>
        <v>0</v>
      </c>
      <c r="L27" s="561" t="s">
        <v>655</v>
      </c>
      <c r="M27" s="71"/>
      <c r="X27" s="202">
        <v>15</v>
      </c>
      <c r="Z27" s="70"/>
      <c r="AA27" s="463" t="s">
        <v>1297</v>
      </c>
      <c r="AB27" s="876">
        <f t="shared" si="13"/>
        <v>585.15</v>
      </c>
      <c r="AC27" s="876">
        <f t="shared" si="14"/>
        <v>0</v>
      </c>
      <c r="AD27" s="561" t="s">
        <v>655</v>
      </c>
      <c r="AE27" s="112"/>
      <c r="AF27" s="565">
        <f t="shared" si="15"/>
        <v>55</v>
      </c>
      <c r="AG27" s="876">
        <f t="shared" si="16"/>
        <v>721.8</v>
      </c>
      <c r="AH27" s="876">
        <f t="shared" si="17"/>
        <v>0</v>
      </c>
      <c r="AI27" s="561" t="s">
        <v>655</v>
      </c>
      <c r="AJ27" s="71"/>
      <c r="AK27" s="31" t="s">
        <v>1079</v>
      </c>
    </row>
    <row r="28" spans="1:36" ht="12">
      <c r="A28" s="202">
        <v>16</v>
      </c>
      <c r="C28" s="70"/>
      <c r="D28" s="568">
        <v>26</v>
      </c>
      <c r="E28" s="876">
        <f t="shared" si="9"/>
        <v>728.16</v>
      </c>
      <c r="F28" s="876">
        <f t="shared" si="10"/>
        <v>0</v>
      </c>
      <c r="G28" s="561" t="s">
        <v>656</v>
      </c>
      <c r="H28" s="112"/>
      <c r="I28" s="568">
        <v>66</v>
      </c>
      <c r="J28" s="876">
        <f t="shared" si="11"/>
        <v>898.24</v>
      </c>
      <c r="K28" s="876">
        <f t="shared" si="12"/>
        <v>0</v>
      </c>
      <c r="L28" s="561" t="s">
        <v>656</v>
      </c>
      <c r="M28" s="71"/>
      <c r="X28" s="202">
        <v>16</v>
      </c>
      <c r="Z28" s="70"/>
      <c r="AA28" s="463" t="s">
        <v>1298</v>
      </c>
      <c r="AB28" s="876">
        <f t="shared" si="13"/>
        <v>624.16</v>
      </c>
      <c r="AC28" s="876">
        <f t="shared" si="14"/>
        <v>0</v>
      </c>
      <c r="AD28" s="561" t="s">
        <v>656</v>
      </c>
      <c r="AE28" s="112"/>
      <c r="AF28" s="565">
        <f t="shared" si="15"/>
        <v>56</v>
      </c>
      <c r="AG28" s="876">
        <f t="shared" si="16"/>
        <v>769.92</v>
      </c>
      <c r="AH28" s="876">
        <f t="shared" si="17"/>
        <v>0</v>
      </c>
      <c r="AI28" s="561" t="s">
        <v>656</v>
      </c>
      <c r="AJ28" s="71"/>
    </row>
    <row r="29" spans="1:36" ht="12">
      <c r="A29" s="202">
        <v>17</v>
      </c>
      <c r="C29" s="70"/>
      <c r="D29" s="568">
        <v>27</v>
      </c>
      <c r="E29" s="876">
        <f t="shared" si="9"/>
        <v>773.67</v>
      </c>
      <c r="F29" s="876">
        <f t="shared" si="10"/>
        <v>0</v>
      </c>
      <c r="G29" s="561" t="s">
        <v>657</v>
      </c>
      <c r="H29" s="112"/>
      <c r="I29" s="568">
        <v>67</v>
      </c>
      <c r="J29" s="876">
        <f t="shared" si="11"/>
        <v>954.38</v>
      </c>
      <c r="K29" s="876">
        <f t="shared" si="12"/>
        <v>0</v>
      </c>
      <c r="L29" s="561" t="s">
        <v>657</v>
      </c>
      <c r="M29" s="71"/>
      <c r="X29" s="202">
        <v>17</v>
      </c>
      <c r="Z29" s="70"/>
      <c r="AA29" s="463" t="s">
        <v>1299</v>
      </c>
      <c r="AB29" s="876">
        <f t="shared" si="13"/>
        <v>663.17</v>
      </c>
      <c r="AC29" s="876">
        <f t="shared" si="14"/>
        <v>0</v>
      </c>
      <c r="AD29" s="561" t="s">
        <v>657</v>
      </c>
      <c r="AE29" s="112"/>
      <c r="AF29" s="565">
        <f t="shared" si="15"/>
        <v>57</v>
      </c>
      <c r="AG29" s="876">
        <f t="shared" si="16"/>
        <v>818.04</v>
      </c>
      <c r="AH29" s="876">
        <f t="shared" si="17"/>
        <v>0</v>
      </c>
      <c r="AI29" s="561" t="s">
        <v>657</v>
      </c>
      <c r="AJ29" s="71"/>
    </row>
    <row r="30" spans="1:36" ht="12">
      <c r="A30" s="202">
        <v>18</v>
      </c>
      <c r="C30" s="70"/>
      <c r="D30" s="568">
        <v>28</v>
      </c>
      <c r="E30" s="876">
        <f t="shared" si="9"/>
        <v>819.18</v>
      </c>
      <c r="F30" s="876">
        <f t="shared" si="10"/>
        <v>0</v>
      </c>
      <c r="G30" s="561" t="s">
        <v>658</v>
      </c>
      <c r="H30" s="112"/>
      <c r="I30" s="568">
        <v>68</v>
      </c>
      <c r="J30" s="876">
        <f t="shared" si="11"/>
        <v>1010.52</v>
      </c>
      <c r="K30" s="876">
        <f t="shared" si="12"/>
        <v>0</v>
      </c>
      <c r="L30" s="561" t="s">
        <v>658</v>
      </c>
      <c r="M30" s="71"/>
      <c r="X30" s="202">
        <v>18</v>
      </c>
      <c r="Z30" s="70"/>
      <c r="AA30" s="463" t="s">
        <v>1300</v>
      </c>
      <c r="AB30" s="876">
        <f t="shared" si="13"/>
        <v>702.18</v>
      </c>
      <c r="AC30" s="876">
        <f t="shared" si="14"/>
        <v>0</v>
      </c>
      <c r="AD30" s="561" t="s">
        <v>658</v>
      </c>
      <c r="AE30" s="112"/>
      <c r="AF30" s="565">
        <f t="shared" si="15"/>
        <v>58</v>
      </c>
      <c r="AG30" s="876">
        <f t="shared" si="16"/>
        <v>866.16</v>
      </c>
      <c r="AH30" s="876">
        <f t="shared" si="17"/>
        <v>0</v>
      </c>
      <c r="AI30" s="561" t="s">
        <v>658</v>
      </c>
      <c r="AJ30" s="71"/>
    </row>
    <row r="31" spans="1:36" ht="12">
      <c r="A31" s="202">
        <v>19</v>
      </c>
      <c r="C31" s="70"/>
      <c r="D31" s="568">
        <v>29</v>
      </c>
      <c r="E31" s="876">
        <f t="shared" si="9"/>
        <v>864.6899999999999</v>
      </c>
      <c r="F31" s="876">
        <f t="shared" si="10"/>
        <v>0</v>
      </c>
      <c r="G31" s="561" t="s">
        <v>659</v>
      </c>
      <c r="H31" s="112"/>
      <c r="I31" s="568">
        <v>69</v>
      </c>
      <c r="J31" s="876">
        <f t="shared" si="11"/>
        <v>1066.66</v>
      </c>
      <c r="K31" s="876">
        <f t="shared" si="12"/>
        <v>0</v>
      </c>
      <c r="L31" s="561" t="s">
        <v>659</v>
      </c>
      <c r="M31" s="71"/>
      <c r="X31" s="202">
        <v>19</v>
      </c>
      <c r="Z31" s="70"/>
      <c r="AA31" s="463" t="s">
        <v>1301</v>
      </c>
      <c r="AB31" s="876">
        <f t="shared" si="13"/>
        <v>741.1899999999999</v>
      </c>
      <c r="AC31" s="876">
        <f t="shared" si="14"/>
        <v>0</v>
      </c>
      <c r="AD31" s="561" t="s">
        <v>659</v>
      </c>
      <c r="AE31" s="112"/>
      <c r="AF31" s="565">
        <f t="shared" si="15"/>
        <v>59</v>
      </c>
      <c r="AG31" s="876">
        <f t="shared" si="16"/>
        <v>914.28</v>
      </c>
      <c r="AH31" s="876">
        <f t="shared" si="17"/>
        <v>0</v>
      </c>
      <c r="AI31" s="561" t="s">
        <v>659</v>
      </c>
      <c r="AJ31" s="71"/>
    </row>
    <row r="32" spans="1:36" ht="12">
      <c r="A32" s="202">
        <v>20</v>
      </c>
      <c r="C32" s="70"/>
      <c r="D32" s="569">
        <v>30</v>
      </c>
      <c r="E32" s="877">
        <f t="shared" si="9"/>
        <v>910.1999999999999</v>
      </c>
      <c r="F32" s="877">
        <f t="shared" si="10"/>
        <v>0</v>
      </c>
      <c r="G32" s="563" t="s">
        <v>3</v>
      </c>
      <c r="H32" s="112"/>
      <c r="I32" s="569">
        <v>70</v>
      </c>
      <c r="J32" s="877">
        <f t="shared" si="11"/>
        <v>1122.8</v>
      </c>
      <c r="K32" s="877">
        <f t="shared" si="12"/>
        <v>0</v>
      </c>
      <c r="L32" s="563" t="s">
        <v>3</v>
      </c>
      <c r="M32" s="71"/>
      <c r="X32" s="202">
        <v>20</v>
      </c>
      <c r="Z32" s="70"/>
      <c r="AA32" s="562" t="s">
        <v>1302</v>
      </c>
      <c r="AB32" s="877">
        <f t="shared" si="13"/>
        <v>780.1999999999999</v>
      </c>
      <c r="AC32" s="877">
        <f t="shared" si="14"/>
        <v>0</v>
      </c>
      <c r="AD32" s="563" t="s">
        <v>3</v>
      </c>
      <c r="AE32" s="112"/>
      <c r="AF32" s="566">
        <f t="shared" si="15"/>
        <v>60</v>
      </c>
      <c r="AG32" s="877">
        <f t="shared" si="16"/>
        <v>962.4</v>
      </c>
      <c r="AH32" s="877">
        <f t="shared" si="17"/>
        <v>0</v>
      </c>
      <c r="AI32" s="563" t="s">
        <v>3</v>
      </c>
      <c r="AJ32" s="71"/>
    </row>
    <row r="33" spans="3:36" ht="12">
      <c r="C33" s="70"/>
      <c r="D33" s="29"/>
      <c r="E33" s="869"/>
      <c r="F33" s="869"/>
      <c r="G33" s="29"/>
      <c r="H33" s="112"/>
      <c r="I33" s="29"/>
      <c r="J33" s="869"/>
      <c r="K33" s="869"/>
      <c r="L33" s="29"/>
      <c r="M33" s="71"/>
      <c r="Z33" s="70"/>
      <c r="AA33" s="29"/>
      <c r="AB33" s="869"/>
      <c r="AC33" s="869"/>
      <c r="AD33" s="29"/>
      <c r="AE33" s="112"/>
      <c r="AF33" s="29"/>
      <c r="AG33" s="869"/>
      <c r="AH33" s="869"/>
      <c r="AI33" s="29"/>
      <c r="AJ33" s="71"/>
    </row>
    <row r="34" spans="1:36" ht="12">
      <c r="A34" s="202">
        <v>21</v>
      </c>
      <c r="C34" s="70"/>
      <c r="D34" s="567">
        <v>31</v>
      </c>
      <c r="E34" s="875">
        <f aca="true" t="shared" si="18" ref="E34:E43">M2_01H*A34</f>
        <v>955.7099999999999</v>
      </c>
      <c r="F34" s="875">
        <f>ROUNDDOWN(PARCAUT_MAG*(A34/20),2)</f>
        <v>0</v>
      </c>
      <c r="G34" s="560" t="s">
        <v>660</v>
      </c>
      <c r="H34" s="112"/>
      <c r="I34" s="567">
        <v>71</v>
      </c>
      <c r="J34" s="875">
        <f aca="true" t="shared" si="19" ref="J34:J43">M4_01H*A34</f>
        <v>1178.94</v>
      </c>
      <c r="K34" s="875">
        <f aca="true" t="shared" si="20" ref="K34:K43">F34</f>
        <v>0</v>
      </c>
      <c r="L34" s="560" t="s">
        <v>660</v>
      </c>
      <c r="M34" s="71"/>
      <c r="X34" s="202">
        <v>21</v>
      </c>
      <c r="Z34" s="70"/>
      <c r="AA34" s="559" t="s">
        <v>1303</v>
      </c>
      <c r="AB34" s="875">
        <f aca="true" t="shared" si="21" ref="AB34:AB43">M2_18*X34</f>
        <v>819.2099999999999</v>
      </c>
      <c r="AC34" s="875">
        <f>ROUNDDOWN(PARCAUT_MAG*(X34/20),2)</f>
        <v>0</v>
      </c>
      <c r="AD34" s="560" t="s">
        <v>660</v>
      </c>
      <c r="AE34" s="112"/>
      <c r="AF34" s="564">
        <f aca="true" t="shared" si="22" ref="AF34:AF43">+X34+$X$54</f>
        <v>61</v>
      </c>
      <c r="AG34" s="875">
        <f aca="true" t="shared" si="23" ref="AG34:AG43">M4_18*X34</f>
        <v>1010.52</v>
      </c>
      <c r="AH34" s="875">
        <f aca="true" t="shared" si="24" ref="AH34:AH43">AC34</f>
        <v>0</v>
      </c>
      <c r="AI34" s="560" t="s">
        <v>660</v>
      </c>
      <c r="AJ34" s="71"/>
    </row>
    <row r="35" spans="1:36" ht="12">
      <c r="A35" s="202">
        <v>22</v>
      </c>
      <c r="C35" s="70"/>
      <c r="D35" s="568">
        <v>32</v>
      </c>
      <c r="E35" s="876">
        <f t="shared" si="18"/>
        <v>1001.2199999999999</v>
      </c>
      <c r="F35" s="876">
        <f>ROUNDDOWN(PARCAUT_MAG*(A35/20),2)</f>
        <v>0</v>
      </c>
      <c r="G35" s="561" t="s">
        <v>661</v>
      </c>
      <c r="H35" s="112"/>
      <c r="I35" s="568">
        <v>72</v>
      </c>
      <c r="J35" s="876">
        <f t="shared" si="19"/>
        <v>1235.08</v>
      </c>
      <c r="K35" s="876">
        <f t="shared" si="20"/>
        <v>0</v>
      </c>
      <c r="L35" s="561" t="s">
        <v>661</v>
      </c>
      <c r="M35" s="71"/>
      <c r="X35" s="202">
        <v>22</v>
      </c>
      <c r="Z35" s="70"/>
      <c r="AA35" s="463" t="s">
        <v>1304</v>
      </c>
      <c r="AB35" s="876">
        <f t="shared" si="21"/>
        <v>858.2199999999999</v>
      </c>
      <c r="AC35" s="876">
        <f aca="true" t="shared" si="25" ref="AC35:AC43">ROUNDDOWN(PARCAUT_MAG*(X35/20),2)</f>
        <v>0</v>
      </c>
      <c r="AD35" s="561" t="s">
        <v>661</v>
      </c>
      <c r="AE35" s="112"/>
      <c r="AF35" s="565">
        <f t="shared" si="22"/>
        <v>62</v>
      </c>
      <c r="AG35" s="876">
        <f t="shared" si="23"/>
        <v>1058.6399999999999</v>
      </c>
      <c r="AH35" s="876">
        <f t="shared" si="24"/>
        <v>0</v>
      </c>
      <c r="AI35" s="561" t="s">
        <v>661</v>
      </c>
      <c r="AJ35" s="71"/>
    </row>
    <row r="36" spans="1:36" ht="12">
      <c r="A36" s="202">
        <v>23</v>
      </c>
      <c r="C36" s="70"/>
      <c r="D36" s="568">
        <v>33</v>
      </c>
      <c r="E36" s="876">
        <f t="shared" si="18"/>
        <v>1046.73</v>
      </c>
      <c r="F36" s="876">
        <f aca="true" t="shared" si="26" ref="F36:F43">ROUNDDOWN(PARCAUT_MAG*(A36/20),2)</f>
        <v>0</v>
      </c>
      <c r="G36" s="561" t="s">
        <v>662</v>
      </c>
      <c r="H36" s="112"/>
      <c r="I36" s="568">
        <v>73</v>
      </c>
      <c r="J36" s="876">
        <f t="shared" si="19"/>
        <v>1291.22</v>
      </c>
      <c r="K36" s="876">
        <f t="shared" si="20"/>
        <v>0</v>
      </c>
      <c r="L36" s="561" t="s">
        <v>662</v>
      </c>
      <c r="M36" s="71"/>
      <c r="X36" s="202">
        <v>23</v>
      </c>
      <c r="Z36" s="70"/>
      <c r="AA36" s="463" t="s">
        <v>1305</v>
      </c>
      <c r="AB36" s="876">
        <f t="shared" si="21"/>
        <v>897.2299999999999</v>
      </c>
      <c r="AC36" s="876">
        <f t="shared" si="25"/>
        <v>0</v>
      </c>
      <c r="AD36" s="561" t="s">
        <v>662</v>
      </c>
      <c r="AE36" s="112"/>
      <c r="AF36" s="565">
        <f t="shared" si="22"/>
        <v>63</v>
      </c>
      <c r="AG36" s="876">
        <f t="shared" si="23"/>
        <v>1106.76</v>
      </c>
      <c r="AH36" s="876">
        <f t="shared" si="24"/>
        <v>0</v>
      </c>
      <c r="AI36" s="561" t="s">
        <v>662</v>
      </c>
      <c r="AJ36" s="71"/>
    </row>
    <row r="37" spans="1:36" ht="12">
      <c r="A37" s="202">
        <v>24</v>
      </c>
      <c r="C37" s="70"/>
      <c r="D37" s="568">
        <v>34</v>
      </c>
      <c r="E37" s="876">
        <f t="shared" si="18"/>
        <v>1092.24</v>
      </c>
      <c r="F37" s="876">
        <f t="shared" si="26"/>
        <v>0</v>
      </c>
      <c r="G37" s="561" t="s">
        <v>663</v>
      </c>
      <c r="H37" s="112"/>
      <c r="I37" s="568">
        <v>74</v>
      </c>
      <c r="J37" s="876">
        <f t="shared" si="19"/>
        <v>1347.3600000000001</v>
      </c>
      <c r="K37" s="876">
        <f t="shared" si="20"/>
        <v>0</v>
      </c>
      <c r="L37" s="561" t="s">
        <v>663</v>
      </c>
      <c r="M37" s="71"/>
      <c r="X37" s="202">
        <v>24</v>
      </c>
      <c r="Z37" s="70"/>
      <c r="AA37" s="463" t="s">
        <v>1306</v>
      </c>
      <c r="AB37" s="876">
        <f t="shared" si="21"/>
        <v>936.24</v>
      </c>
      <c r="AC37" s="876">
        <f t="shared" si="25"/>
        <v>0</v>
      </c>
      <c r="AD37" s="561" t="s">
        <v>663</v>
      </c>
      <c r="AE37" s="112"/>
      <c r="AF37" s="565">
        <f t="shared" si="22"/>
        <v>64</v>
      </c>
      <c r="AG37" s="876">
        <f t="shared" si="23"/>
        <v>1154.8799999999999</v>
      </c>
      <c r="AH37" s="876">
        <f t="shared" si="24"/>
        <v>0</v>
      </c>
      <c r="AI37" s="561" t="s">
        <v>663</v>
      </c>
      <c r="AJ37" s="71"/>
    </row>
    <row r="38" spans="1:36" ht="12">
      <c r="A38" s="202">
        <v>25</v>
      </c>
      <c r="C38" s="70"/>
      <c r="D38" s="568">
        <v>35</v>
      </c>
      <c r="E38" s="876">
        <f t="shared" si="18"/>
        <v>1137.75</v>
      </c>
      <c r="F38" s="876">
        <f t="shared" si="26"/>
        <v>0</v>
      </c>
      <c r="G38" s="561" t="s">
        <v>664</v>
      </c>
      <c r="H38" s="112"/>
      <c r="I38" s="568">
        <v>75</v>
      </c>
      <c r="J38" s="876">
        <f t="shared" si="19"/>
        <v>1403.5</v>
      </c>
      <c r="K38" s="876">
        <f t="shared" si="20"/>
        <v>0</v>
      </c>
      <c r="L38" s="561" t="s">
        <v>664</v>
      </c>
      <c r="M38" s="71"/>
      <c r="X38" s="202">
        <v>25</v>
      </c>
      <c r="Z38" s="70"/>
      <c r="AA38" s="463" t="s">
        <v>1307</v>
      </c>
      <c r="AB38" s="876">
        <f t="shared" si="21"/>
        <v>975.25</v>
      </c>
      <c r="AC38" s="876">
        <f t="shared" si="25"/>
        <v>0</v>
      </c>
      <c r="AD38" s="561" t="s">
        <v>664</v>
      </c>
      <c r="AE38" s="112"/>
      <c r="AF38" s="565">
        <f t="shared" si="22"/>
        <v>65</v>
      </c>
      <c r="AG38" s="876">
        <f t="shared" si="23"/>
        <v>1203</v>
      </c>
      <c r="AH38" s="876">
        <f t="shared" si="24"/>
        <v>0</v>
      </c>
      <c r="AI38" s="561" t="s">
        <v>664</v>
      </c>
      <c r="AJ38" s="71"/>
    </row>
    <row r="39" spans="1:36" ht="12">
      <c r="A39" s="202">
        <v>26</v>
      </c>
      <c r="C39" s="70"/>
      <c r="D39" s="568">
        <v>36</v>
      </c>
      <c r="E39" s="876">
        <f t="shared" si="18"/>
        <v>1183.26</v>
      </c>
      <c r="F39" s="876">
        <f t="shared" si="26"/>
        <v>0</v>
      </c>
      <c r="G39" s="561" t="s">
        <v>665</v>
      </c>
      <c r="H39" s="112"/>
      <c r="I39" s="568">
        <v>76</v>
      </c>
      <c r="J39" s="876">
        <f t="shared" si="19"/>
        <v>1459.64</v>
      </c>
      <c r="K39" s="876">
        <f t="shared" si="20"/>
        <v>0</v>
      </c>
      <c r="L39" s="561" t="s">
        <v>665</v>
      </c>
      <c r="M39" s="71"/>
      <c r="X39" s="202">
        <v>26</v>
      </c>
      <c r="Z39" s="70"/>
      <c r="AA39" s="463" t="s">
        <v>1308</v>
      </c>
      <c r="AB39" s="876">
        <f t="shared" si="21"/>
        <v>1014.26</v>
      </c>
      <c r="AC39" s="876">
        <f t="shared" si="25"/>
        <v>0</v>
      </c>
      <c r="AD39" s="561" t="s">
        <v>665</v>
      </c>
      <c r="AE39" s="112"/>
      <c r="AF39" s="565">
        <f t="shared" si="22"/>
        <v>66</v>
      </c>
      <c r="AG39" s="876">
        <f t="shared" si="23"/>
        <v>1251.12</v>
      </c>
      <c r="AH39" s="876">
        <f t="shared" si="24"/>
        <v>0</v>
      </c>
      <c r="AI39" s="561" t="s">
        <v>665</v>
      </c>
      <c r="AJ39" s="71"/>
    </row>
    <row r="40" spans="1:36" ht="12">
      <c r="A40" s="202">
        <v>27</v>
      </c>
      <c r="C40" s="70"/>
      <c r="D40" s="568">
        <v>37</v>
      </c>
      <c r="E40" s="876">
        <f t="shared" si="18"/>
        <v>1228.77</v>
      </c>
      <c r="F40" s="876">
        <f t="shared" si="26"/>
        <v>0</v>
      </c>
      <c r="G40" s="561" t="s">
        <v>666</v>
      </c>
      <c r="H40" s="112"/>
      <c r="I40" s="568">
        <v>77</v>
      </c>
      <c r="J40" s="876">
        <f t="shared" si="19"/>
        <v>1515.78</v>
      </c>
      <c r="K40" s="876">
        <f t="shared" si="20"/>
        <v>0</v>
      </c>
      <c r="L40" s="561" t="s">
        <v>666</v>
      </c>
      <c r="M40" s="71"/>
      <c r="X40" s="202">
        <v>27</v>
      </c>
      <c r="Z40" s="70"/>
      <c r="AA40" s="463" t="s">
        <v>1309</v>
      </c>
      <c r="AB40" s="876">
        <f t="shared" si="21"/>
        <v>1053.27</v>
      </c>
      <c r="AC40" s="876">
        <f t="shared" si="25"/>
        <v>0</v>
      </c>
      <c r="AD40" s="561" t="s">
        <v>666</v>
      </c>
      <c r="AE40" s="112"/>
      <c r="AF40" s="565">
        <f t="shared" si="22"/>
        <v>67</v>
      </c>
      <c r="AG40" s="876">
        <f t="shared" si="23"/>
        <v>1299.24</v>
      </c>
      <c r="AH40" s="876">
        <f t="shared" si="24"/>
        <v>0</v>
      </c>
      <c r="AI40" s="561" t="s">
        <v>666</v>
      </c>
      <c r="AJ40" s="71"/>
    </row>
    <row r="41" spans="1:36" ht="12">
      <c r="A41" s="202">
        <v>28</v>
      </c>
      <c r="C41" s="70"/>
      <c r="D41" s="568">
        <v>38</v>
      </c>
      <c r="E41" s="876">
        <f t="shared" si="18"/>
        <v>1274.28</v>
      </c>
      <c r="F41" s="876">
        <f t="shared" si="26"/>
        <v>0</v>
      </c>
      <c r="G41" s="561" t="s">
        <v>667</v>
      </c>
      <c r="H41" s="112"/>
      <c r="I41" s="568">
        <v>78</v>
      </c>
      <c r="J41" s="876">
        <f t="shared" si="19"/>
        <v>1571.92</v>
      </c>
      <c r="K41" s="876">
        <f t="shared" si="20"/>
        <v>0</v>
      </c>
      <c r="L41" s="561" t="s">
        <v>667</v>
      </c>
      <c r="M41" s="71"/>
      <c r="X41" s="202">
        <v>28</v>
      </c>
      <c r="Z41" s="70"/>
      <c r="AA41" s="463" t="s">
        <v>1310</v>
      </c>
      <c r="AB41" s="876">
        <f t="shared" si="21"/>
        <v>1092.28</v>
      </c>
      <c r="AC41" s="876">
        <f t="shared" si="25"/>
        <v>0</v>
      </c>
      <c r="AD41" s="561" t="s">
        <v>667</v>
      </c>
      <c r="AE41" s="112"/>
      <c r="AF41" s="565">
        <f t="shared" si="22"/>
        <v>68</v>
      </c>
      <c r="AG41" s="876">
        <f t="shared" si="23"/>
        <v>1347.36</v>
      </c>
      <c r="AH41" s="876">
        <f t="shared" si="24"/>
        <v>0</v>
      </c>
      <c r="AI41" s="561" t="s">
        <v>667</v>
      </c>
      <c r="AJ41" s="71"/>
    </row>
    <row r="42" spans="1:36" ht="12">
      <c r="A42" s="202">
        <v>29</v>
      </c>
      <c r="C42" s="70"/>
      <c r="D42" s="568">
        <v>39</v>
      </c>
      <c r="E42" s="876">
        <f t="shared" si="18"/>
        <v>1319.79</v>
      </c>
      <c r="F42" s="876">
        <f t="shared" si="26"/>
        <v>0</v>
      </c>
      <c r="G42" s="561" t="s">
        <v>668</v>
      </c>
      <c r="H42" s="112"/>
      <c r="I42" s="568">
        <v>79</v>
      </c>
      <c r="J42" s="876">
        <f t="shared" si="19"/>
        <v>1628.06</v>
      </c>
      <c r="K42" s="876">
        <f t="shared" si="20"/>
        <v>0</v>
      </c>
      <c r="L42" s="561" t="s">
        <v>668</v>
      </c>
      <c r="M42" s="71"/>
      <c r="X42" s="202">
        <v>29</v>
      </c>
      <c r="Z42" s="70"/>
      <c r="AA42" s="463" t="s">
        <v>1311</v>
      </c>
      <c r="AB42" s="876">
        <f t="shared" si="21"/>
        <v>1131.29</v>
      </c>
      <c r="AC42" s="876">
        <f t="shared" si="25"/>
        <v>0</v>
      </c>
      <c r="AD42" s="561" t="s">
        <v>668</v>
      </c>
      <c r="AE42" s="112"/>
      <c r="AF42" s="565">
        <f t="shared" si="22"/>
        <v>69</v>
      </c>
      <c r="AG42" s="876">
        <f t="shared" si="23"/>
        <v>1395.48</v>
      </c>
      <c r="AH42" s="876">
        <f t="shared" si="24"/>
        <v>0</v>
      </c>
      <c r="AI42" s="561" t="s">
        <v>668</v>
      </c>
      <c r="AJ42" s="71"/>
    </row>
    <row r="43" spans="1:36" ht="12">
      <c r="A43" s="202">
        <v>30</v>
      </c>
      <c r="C43" s="70"/>
      <c r="D43" s="569">
        <v>40</v>
      </c>
      <c r="E43" s="877">
        <f t="shared" si="18"/>
        <v>1365.3</v>
      </c>
      <c r="F43" s="877">
        <f t="shared" si="26"/>
        <v>0</v>
      </c>
      <c r="G43" s="563" t="s">
        <v>2</v>
      </c>
      <c r="H43" s="112"/>
      <c r="I43" s="569">
        <v>80</v>
      </c>
      <c r="J43" s="877">
        <f t="shared" si="19"/>
        <v>1684.2</v>
      </c>
      <c r="K43" s="877">
        <f t="shared" si="20"/>
        <v>0</v>
      </c>
      <c r="L43" s="563" t="s">
        <v>2</v>
      </c>
      <c r="M43" s="71"/>
      <c r="X43" s="202">
        <v>30</v>
      </c>
      <c r="Z43" s="70"/>
      <c r="AA43" s="562" t="s">
        <v>1312</v>
      </c>
      <c r="AB43" s="877">
        <f t="shared" si="21"/>
        <v>1170.3</v>
      </c>
      <c r="AC43" s="877">
        <f t="shared" si="25"/>
        <v>0</v>
      </c>
      <c r="AD43" s="563" t="s">
        <v>2</v>
      </c>
      <c r="AE43" s="112"/>
      <c r="AF43" s="566">
        <f t="shared" si="22"/>
        <v>70</v>
      </c>
      <c r="AG43" s="877">
        <f t="shared" si="23"/>
        <v>1443.6</v>
      </c>
      <c r="AH43" s="877">
        <f t="shared" si="24"/>
        <v>0</v>
      </c>
      <c r="AI43" s="563" t="s">
        <v>2</v>
      </c>
      <c r="AJ43" s="71"/>
    </row>
    <row r="44" spans="3:36" ht="12">
      <c r="C44" s="70"/>
      <c r="D44" s="29"/>
      <c r="E44" s="869"/>
      <c r="F44" s="869"/>
      <c r="G44" s="29"/>
      <c r="H44" s="112"/>
      <c r="I44" s="29"/>
      <c r="J44" s="869"/>
      <c r="K44" s="869"/>
      <c r="L44" s="29"/>
      <c r="M44" s="71"/>
      <c r="Z44" s="70"/>
      <c r="AA44" s="29"/>
      <c r="AB44" s="869"/>
      <c r="AC44" s="869"/>
      <c r="AD44" s="29"/>
      <c r="AE44" s="112"/>
      <c r="AF44" s="29"/>
      <c r="AG44" s="869"/>
      <c r="AH44" s="869"/>
      <c r="AI44" s="29"/>
      <c r="AJ44" s="71"/>
    </row>
    <row r="45" spans="1:36" ht="12">
      <c r="A45" s="202">
        <v>31</v>
      </c>
      <c r="C45" s="70"/>
      <c r="D45" s="567">
        <v>41</v>
      </c>
      <c r="E45" s="875">
        <f aca="true" t="shared" si="27" ref="E45:E54">M2_01H*A45</f>
        <v>1410.81</v>
      </c>
      <c r="F45" s="875">
        <f>ROUNDDOWN(PARCAUT_MAG*(A45/20),2)</f>
        <v>0</v>
      </c>
      <c r="G45" s="560" t="s">
        <v>669</v>
      </c>
      <c r="H45" s="112"/>
      <c r="I45" s="567">
        <v>81</v>
      </c>
      <c r="J45" s="875">
        <f aca="true" t="shared" si="28" ref="J45:J54">M4_01H*A45</f>
        <v>1740.34</v>
      </c>
      <c r="K45" s="875">
        <f aca="true" t="shared" si="29" ref="K45:K54">F45</f>
        <v>0</v>
      </c>
      <c r="L45" s="560" t="s">
        <v>669</v>
      </c>
      <c r="M45" s="71"/>
      <c r="X45" s="202">
        <v>31</v>
      </c>
      <c r="Z45" s="70"/>
      <c r="AA45" s="559" t="s">
        <v>1313</v>
      </c>
      <c r="AB45" s="875">
        <f aca="true" t="shared" si="30" ref="AB45:AB54">M2_18*X45</f>
        <v>1209.31</v>
      </c>
      <c r="AC45" s="875">
        <f>ROUNDDOWN(PARCAUT_MAG*(X45/20),2)</f>
        <v>0</v>
      </c>
      <c r="AD45" s="560" t="s">
        <v>669</v>
      </c>
      <c r="AE45" s="112"/>
      <c r="AF45" s="564">
        <f aca="true" t="shared" si="31" ref="AF45:AF54">+X45+$X$54</f>
        <v>71</v>
      </c>
      <c r="AG45" s="875">
        <f aca="true" t="shared" si="32" ref="AG45:AG54">M4_18*X45</f>
        <v>1491.72</v>
      </c>
      <c r="AH45" s="875">
        <f aca="true" t="shared" si="33" ref="AH45:AH54">AC45</f>
        <v>0</v>
      </c>
      <c r="AI45" s="560" t="s">
        <v>669</v>
      </c>
      <c r="AJ45" s="71"/>
    </row>
    <row r="46" spans="1:36" ht="12">
      <c r="A46" s="202">
        <v>32</v>
      </c>
      <c r="C46" s="70"/>
      <c r="D46" s="568">
        <v>42</v>
      </c>
      <c r="E46" s="876">
        <f t="shared" si="27"/>
        <v>1456.32</v>
      </c>
      <c r="F46" s="876">
        <f>ROUNDDOWN(PARCAUT_MAG*(A46/20),2)</f>
        <v>0</v>
      </c>
      <c r="G46" s="561" t="s">
        <v>670</v>
      </c>
      <c r="H46" s="112"/>
      <c r="I46" s="568">
        <v>82</v>
      </c>
      <c r="J46" s="876">
        <f t="shared" si="28"/>
        <v>1796.48</v>
      </c>
      <c r="K46" s="876">
        <f t="shared" si="29"/>
        <v>0</v>
      </c>
      <c r="L46" s="561" t="s">
        <v>670</v>
      </c>
      <c r="M46" s="71"/>
      <c r="X46" s="202">
        <v>32</v>
      </c>
      <c r="Z46" s="70"/>
      <c r="AA46" s="463" t="s">
        <v>1314</v>
      </c>
      <c r="AB46" s="876">
        <f t="shared" si="30"/>
        <v>1248.32</v>
      </c>
      <c r="AC46" s="876">
        <f aca="true" t="shared" si="34" ref="AC46:AC54">ROUNDDOWN(PARCAUT_MAG*(X46/20),2)</f>
        <v>0</v>
      </c>
      <c r="AD46" s="561" t="s">
        <v>670</v>
      </c>
      <c r="AE46" s="112"/>
      <c r="AF46" s="565">
        <f t="shared" si="31"/>
        <v>72</v>
      </c>
      <c r="AG46" s="876">
        <f t="shared" si="32"/>
        <v>1539.84</v>
      </c>
      <c r="AH46" s="876">
        <f t="shared" si="33"/>
        <v>0</v>
      </c>
      <c r="AI46" s="561" t="s">
        <v>670</v>
      </c>
      <c r="AJ46" s="71"/>
    </row>
    <row r="47" spans="1:36" ht="12">
      <c r="A47" s="202">
        <v>33</v>
      </c>
      <c r="C47" s="70"/>
      <c r="D47" s="568">
        <v>43</v>
      </c>
      <c r="E47" s="876">
        <f t="shared" si="27"/>
        <v>1501.83</v>
      </c>
      <c r="F47" s="876">
        <f aca="true" t="shared" si="35" ref="F47:F54">ROUNDDOWN(PARCAUT_MAG*(A47/20),2)</f>
        <v>0</v>
      </c>
      <c r="G47" s="561" t="s">
        <v>671</v>
      </c>
      <c r="H47" s="112"/>
      <c r="I47" s="568">
        <v>83</v>
      </c>
      <c r="J47" s="876">
        <f t="shared" si="28"/>
        <v>1852.6200000000001</v>
      </c>
      <c r="K47" s="876">
        <f t="shared" si="29"/>
        <v>0</v>
      </c>
      <c r="L47" s="561" t="s">
        <v>671</v>
      </c>
      <c r="M47" s="71"/>
      <c r="X47" s="202">
        <v>33</v>
      </c>
      <c r="Z47" s="70"/>
      <c r="AA47" s="463" t="s">
        <v>1315</v>
      </c>
      <c r="AB47" s="876">
        <f t="shared" si="30"/>
        <v>1287.33</v>
      </c>
      <c r="AC47" s="876">
        <f t="shared" si="34"/>
        <v>0</v>
      </c>
      <c r="AD47" s="561" t="s">
        <v>671</v>
      </c>
      <c r="AE47" s="112"/>
      <c r="AF47" s="565">
        <f t="shared" si="31"/>
        <v>73</v>
      </c>
      <c r="AG47" s="876">
        <f t="shared" si="32"/>
        <v>1587.9599999999998</v>
      </c>
      <c r="AH47" s="876">
        <f t="shared" si="33"/>
        <v>0</v>
      </c>
      <c r="AI47" s="561" t="s">
        <v>671</v>
      </c>
      <c r="AJ47" s="71"/>
    </row>
    <row r="48" spans="1:36" ht="12">
      <c r="A48" s="202">
        <v>34</v>
      </c>
      <c r="C48" s="70"/>
      <c r="D48" s="568">
        <v>44</v>
      </c>
      <c r="E48" s="876">
        <f t="shared" si="27"/>
        <v>1547.34</v>
      </c>
      <c r="F48" s="876">
        <f t="shared" si="35"/>
        <v>0</v>
      </c>
      <c r="G48" s="561" t="s">
        <v>672</v>
      </c>
      <c r="H48" s="112"/>
      <c r="I48" s="568">
        <v>84</v>
      </c>
      <c r="J48" s="876">
        <f t="shared" si="28"/>
        <v>1908.76</v>
      </c>
      <c r="K48" s="876">
        <f t="shared" si="29"/>
        <v>0</v>
      </c>
      <c r="L48" s="561" t="s">
        <v>672</v>
      </c>
      <c r="M48" s="71"/>
      <c r="X48" s="202">
        <v>34</v>
      </c>
      <c r="Z48" s="70"/>
      <c r="AA48" s="463" t="s">
        <v>1316</v>
      </c>
      <c r="AB48" s="876">
        <f t="shared" si="30"/>
        <v>1326.34</v>
      </c>
      <c r="AC48" s="876">
        <f t="shared" si="34"/>
        <v>0</v>
      </c>
      <c r="AD48" s="561" t="s">
        <v>672</v>
      </c>
      <c r="AE48" s="112"/>
      <c r="AF48" s="565">
        <f t="shared" si="31"/>
        <v>74</v>
      </c>
      <c r="AG48" s="876">
        <f t="shared" si="32"/>
        <v>1636.08</v>
      </c>
      <c r="AH48" s="876">
        <f t="shared" si="33"/>
        <v>0</v>
      </c>
      <c r="AI48" s="561" t="s">
        <v>672</v>
      </c>
      <c r="AJ48" s="71"/>
    </row>
    <row r="49" spans="1:36" ht="12">
      <c r="A49" s="202">
        <v>35</v>
      </c>
      <c r="C49" s="70"/>
      <c r="D49" s="568">
        <v>45</v>
      </c>
      <c r="E49" s="876">
        <f t="shared" si="27"/>
        <v>1592.85</v>
      </c>
      <c r="F49" s="876">
        <f t="shared" si="35"/>
        <v>0</v>
      </c>
      <c r="G49" s="561" t="s">
        <v>673</v>
      </c>
      <c r="H49" s="112"/>
      <c r="I49" s="568">
        <v>85</v>
      </c>
      <c r="J49" s="876">
        <f t="shared" si="28"/>
        <v>1964.9</v>
      </c>
      <c r="K49" s="876">
        <f t="shared" si="29"/>
        <v>0</v>
      </c>
      <c r="L49" s="561" t="s">
        <v>673</v>
      </c>
      <c r="M49" s="71"/>
      <c r="X49" s="202">
        <v>35</v>
      </c>
      <c r="Z49" s="70"/>
      <c r="AA49" s="463" t="s">
        <v>1317</v>
      </c>
      <c r="AB49" s="876">
        <f t="shared" si="30"/>
        <v>1365.35</v>
      </c>
      <c r="AC49" s="876">
        <f t="shared" si="34"/>
        <v>0</v>
      </c>
      <c r="AD49" s="561" t="s">
        <v>673</v>
      </c>
      <c r="AE49" s="112"/>
      <c r="AF49" s="565">
        <f t="shared" si="31"/>
        <v>75</v>
      </c>
      <c r="AG49" s="876">
        <f t="shared" si="32"/>
        <v>1684.1999999999998</v>
      </c>
      <c r="AH49" s="876">
        <f t="shared" si="33"/>
        <v>0</v>
      </c>
      <c r="AI49" s="561" t="s">
        <v>673</v>
      </c>
      <c r="AJ49" s="71"/>
    </row>
    <row r="50" spans="1:36" ht="12">
      <c r="A50" s="202">
        <v>36</v>
      </c>
      <c r="C50" s="70"/>
      <c r="D50" s="568">
        <v>46</v>
      </c>
      <c r="E50" s="876">
        <f t="shared" si="27"/>
        <v>1638.36</v>
      </c>
      <c r="F50" s="876">
        <f t="shared" si="35"/>
        <v>0</v>
      </c>
      <c r="G50" s="561" t="s">
        <v>674</v>
      </c>
      <c r="H50" s="112"/>
      <c r="I50" s="568">
        <v>86</v>
      </c>
      <c r="J50" s="876">
        <f t="shared" si="28"/>
        <v>2021.04</v>
      </c>
      <c r="K50" s="876">
        <f t="shared" si="29"/>
        <v>0</v>
      </c>
      <c r="L50" s="561" t="s">
        <v>674</v>
      </c>
      <c r="M50" s="71"/>
      <c r="X50" s="202">
        <v>36</v>
      </c>
      <c r="Z50" s="70"/>
      <c r="AA50" s="463" t="s">
        <v>1318</v>
      </c>
      <c r="AB50" s="876">
        <f t="shared" si="30"/>
        <v>1404.36</v>
      </c>
      <c r="AC50" s="876">
        <f t="shared" si="34"/>
        <v>0</v>
      </c>
      <c r="AD50" s="561" t="s">
        <v>674</v>
      </c>
      <c r="AE50" s="112"/>
      <c r="AF50" s="565">
        <f t="shared" si="31"/>
        <v>76</v>
      </c>
      <c r="AG50" s="876">
        <f t="shared" si="32"/>
        <v>1732.32</v>
      </c>
      <c r="AH50" s="876">
        <f t="shared" si="33"/>
        <v>0</v>
      </c>
      <c r="AI50" s="561" t="s">
        <v>674</v>
      </c>
      <c r="AJ50" s="71"/>
    </row>
    <row r="51" spans="1:36" ht="12">
      <c r="A51" s="202">
        <v>37</v>
      </c>
      <c r="C51" s="108"/>
      <c r="D51" s="568">
        <v>47</v>
      </c>
      <c r="E51" s="876">
        <f t="shared" si="27"/>
        <v>1683.87</v>
      </c>
      <c r="F51" s="876">
        <f t="shared" si="35"/>
        <v>0</v>
      </c>
      <c r="G51" s="561" t="s">
        <v>675</v>
      </c>
      <c r="H51" s="112"/>
      <c r="I51" s="568">
        <v>87</v>
      </c>
      <c r="J51" s="876">
        <f t="shared" si="28"/>
        <v>2077.18</v>
      </c>
      <c r="K51" s="876">
        <f t="shared" si="29"/>
        <v>0</v>
      </c>
      <c r="L51" s="561" t="s">
        <v>675</v>
      </c>
      <c r="M51" s="109"/>
      <c r="X51" s="202">
        <v>37</v>
      </c>
      <c r="Z51" s="108"/>
      <c r="AA51" s="463" t="s">
        <v>1319</v>
      </c>
      <c r="AB51" s="876">
        <f t="shared" si="30"/>
        <v>1443.37</v>
      </c>
      <c r="AC51" s="876">
        <f t="shared" si="34"/>
        <v>0</v>
      </c>
      <c r="AD51" s="561" t="s">
        <v>675</v>
      </c>
      <c r="AE51" s="112"/>
      <c r="AF51" s="565">
        <f t="shared" si="31"/>
        <v>77</v>
      </c>
      <c r="AG51" s="876">
        <f t="shared" si="32"/>
        <v>1780.4399999999998</v>
      </c>
      <c r="AH51" s="876">
        <f t="shared" si="33"/>
        <v>0</v>
      </c>
      <c r="AI51" s="561" t="s">
        <v>675</v>
      </c>
      <c r="AJ51" s="71"/>
    </row>
    <row r="52" spans="1:36" ht="12">
      <c r="A52" s="202">
        <v>38</v>
      </c>
      <c r="C52" s="108"/>
      <c r="D52" s="568">
        <v>48</v>
      </c>
      <c r="E52" s="876">
        <f t="shared" si="27"/>
        <v>1729.3799999999999</v>
      </c>
      <c r="F52" s="876">
        <f t="shared" si="35"/>
        <v>0</v>
      </c>
      <c r="G52" s="561" t="s">
        <v>676</v>
      </c>
      <c r="H52" s="30"/>
      <c r="I52" s="568">
        <v>88</v>
      </c>
      <c r="J52" s="876">
        <f t="shared" si="28"/>
        <v>2133.32</v>
      </c>
      <c r="K52" s="876">
        <f t="shared" si="29"/>
        <v>0</v>
      </c>
      <c r="L52" s="561" t="s">
        <v>676</v>
      </c>
      <c r="M52" s="109"/>
      <c r="X52" s="202">
        <v>38</v>
      </c>
      <c r="Z52" s="108"/>
      <c r="AA52" s="463" t="s">
        <v>196</v>
      </c>
      <c r="AB52" s="876">
        <f t="shared" si="30"/>
        <v>1482.3799999999999</v>
      </c>
      <c r="AC52" s="876">
        <f t="shared" si="34"/>
        <v>0</v>
      </c>
      <c r="AD52" s="561" t="s">
        <v>676</v>
      </c>
      <c r="AE52" s="29"/>
      <c r="AF52" s="565">
        <f t="shared" si="31"/>
        <v>78</v>
      </c>
      <c r="AG52" s="876">
        <f t="shared" si="32"/>
        <v>1828.56</v>
      </c>
      <c r="AH52" s="876">
        <f t="shared" si="33"/>
        <v>0</v>
      </c>
      <c r="AI52" s="561" t="s">
        <v>676</v>
      </c>
      <c r="AJ52" s="71"/>
    </row>
    <row r="53" spans="1:36" ht="12">
      <c r="A53" s="202">
        <v>39</v>
      </c>
      <c r="C53" s="108"/>
      <c r="D53" s="568">
        <v>49</v>
      </c>
      <c r="E53" s="876">
        <f t="shared" si="27"/>
        <v>1774.8899999999999</v>
      </c>
      <c r="F53" s="876">
        <f t="shared" si="35"/>
        <v>0</v>
      </c>
      <c r="G53" s="561" t="s">
        <v>677</v>
      </c>
      <c r="H53" s="30"/>
      <c r="I53" s="568">
        <v>89</v>
      </c>
      <c r="J53" s="876">
        <f t="shared" si="28"/>
        <v>2189.46</v>
      </c>
      <c r="K53" s="876">
        <f t="shared" si="29"/>
        <v>0</v>
      </c>
      <c r="L53" s="561" t="s">
        <v>677</v>
      </c>
      <c r="M53" s="109"/>
      <c r="X53" s="202">
        <v>39</v>
      </c>
      <c r="Z53" s="108"/>
      <c r="AA53" s="463" t="s">
        <v>197</v>
      </c>
      <c r="AB53" s="876">
        <f t="shared" si="30"/>
        <v>1521.3899999999999</v>
      </c>
      <c r="AC53" s="876">
        <f t="shared" si="34"/>
        <v>0</v>
      </c>
      <c r="AD53" s="561" t="s">
        <v>677</v>
      </c>
      <c r="AE53" s="30"/>
      <c r="AF53" s="565">
        <f t="shared" si="31"/>
        <v>79</v>
      </c>
      <c r="AG53" s="876">
        <f t="shared" si="32"/>
        <v>1876.6799999999998</v>
      </c>
      <c r="AH53" s="876">
        <f t="shared" si="33"/>
        <v>0</v>
      </c>
      <c r="AI53" s="561" t="s">
        <v>677</v>
      </c>
      <c r="AJ53" s="109"/>
    </row>
    <row r="54" spans="1:36" ht="12">
      <c r="A54" s="207">
        <v>40</v>
      </c>
      <c r="C54" s="108"/>
      <c r="D54" s="569">
        <v>50</v>
      </c>
      <c r="E54" s="877">
        <f t="shared" si="27"/>
        <v>1820.3999999999999</v>
      </c>
      <c r="F54" s="877">
        <f t="shared" si="35"/>
        <v>0</v>
      </c>
      <c r="G54" s="563" t="s">
        <v>1</v>
      </c>
      <c r="H54" s="30"/>
      <c r="I54" s="569">
        <v>90</v>
      </c>
      <c r="J54" s="877">
        <f t="shared" si="28"/>
        <v>2245.6</v>
      </c>
      <c r="K54" s="877">
        <f t="shared" si="29"/>
        <v>0</v>
      </c>
      <c r="L54" s="563" t="s">
        <v>1</v>
      </c>
      <c r="M54" s="109"/>
      <c r="X54" s="207">
        <v>40</v>
      </c>
      <c r="Z54" s="108"/>
      <c r="AA54" s="562" t="s">
        <v>198</v>
      </c>
      <c r="AB54" s="877">
        <f t="shared" si="30"/>
        <v>1560.3999999999999</v>
      </c>
      <c r="AC54" s="877">
        <f t="shared" si="34"/>
        <v>0</v>
      </c>
      <c r="AD54" s="563" t="s">
        <v>1</v>
      </c>
      <c r="AE54" s="30"/>
      <c r="AF54" s="566">
        <f t="shared" si="31"/>
        <v>80</v>
      </c>
      <c r="AG54" s="877">
        <f t="shared" si="32"/>
        <v>1924.8</v>
      </c>
      <c r="AH54" s="877">
        <f t="shared" si="33"/>
        <v>0</v>
      </c>
      <c r="AI54" s="563" t="s">
        <v>1</v>
      </c>
      <c r="AJ54" s="109"/>
    </row>
    <row r="55" spans="3:36" ht="12">
      <c r="C55" s="108"/>
      <c r="D55" s="30"/>
      <c r="E55" s="30"/>
      <c r="F55" s="30"/>
      <c r="G55" s="30"/>
      <c r="H55" s="30"/>
      <c r="I55" s="30"/>
      <c r="J55" s="30"/>
      <c r="K55" s="30"/>
      <c r="L55" s="30"/>
      <c r="M55" s="109"/>
      <c r="Z55" s="108"/>
      <c r="AA55" s="30"/>
      <c r="AB55" s="30"/>
      <c r="AC55" s="30"/>
      <c r="AD55" s="30"/>
      <c r="AE55" s="30"/>
      <c r="AF55" s="30"/>
      <c r="AG55" s="30"/>
      <c r="AH55" s="30"/>
      <c r="AI55" s="30"/>
      <c r="AJ55" s="109"/>
    </row>
    <row r="56" spans="3:36" ht="12">
      <c r="C56" s="108"/>
      <c r="D56" s="30"/>
      <c r="E56" s="30"/>
      <c r="F56" s="30"/>
      <c r="G56" s="30"/>
      <c r="H56" s="30"/>
      <c r="I56" s="30"/>
      <c r="J56" s="30"/>
      <c r="K56" s="30"/>
      <c r="L56" s="30"/>
      <c r="M56" s="109"/>
      <c r="Z56" s="108"/>
      <c r="AA56" s="30"/>
      <c r="AB56" s="30"/>
      <c r="AC56" s="30"/>
      <c r="AD56" s="30"/>
      <c r="AE56" s="30"/>
      <c r="AF56" s="30"/>
      <c r="AG56" s="30"/>
      <c r="AH56" s="30"/>
      <c r="AI56" s="30"/>
      <c r="AJ56" s="109"/>
    </row>
    <row r="57" spans="3:36" ht="12">
      <c r="C57" s="108"/>
      <c r="D57" s="30"/>
      <c r="E57" s="30"/>
      <c r="F57" s="30"/>
      <c r="G57" s="30"/>
      <c r="H57" s="30"/>
      <c r="I57" s="30"/>
      <c r="J57" s="30"/>
      <c r="K57" s="30"/>
      <c r="L57" s="30"/>
      <c r="M57" s="109"/>
      <c r="Z57" s="108"/>
      <c r="AA57" s="30"/>
      <c r="AB57" s="30"/>
      <c r="AC57" s="30"/>
      <c r="AD57" s="30"/>
      <c r="AE57" s="30"/>
      <c r="AF57" s="30"/>
      <c r="AG57" s="30"/>
      <c r="AH57" s="30"/>
      <c r="AI57" s="30"/>
      <c r="AJ57" s="109"/>
    </row>
    <row r="58" spans="3:36" ht="12">
      <c r="C58" s="108"/>
      <c r="D58" s="30"/>
      <c r="E58" s="30"/>
      <c r="F58" s="30"/>
      <c r="G58" s="30"/>
      <c r="H58" s="30"/>
      <c r="I58" s="30"/>
      <c r="J58" s="30"/>
      <c r="K58" s="30"/>
      <c r="L58" s="30"/>
      <c r="M58" s="109"/>
      <c r="Z58" s="108"/>
      <c r="AA58" s="30"/>
      <c r="AB58" s="30"/>
      <c r="AC58" s="30"/>
      <c r="AD58" s="30"/>
      <c r="AE58" s="30"/>
      <c r="AF58" s="30"/>
      <c r="AG58" s="30"/>
      <c r="AH58" s="30"/>
      <c r="AI58" s="30"/>
      <c r="AJ58" s="109"/>
    </row>
    <row r="59" spans="3:36" ht="12">
      <c r="C59" s="108"/>
      <c r="D59" s="30"/>
      <c r="E59" s="30"/>
      <c r="F59" s="30"/>
      <c r="G59" s="30"/>
      <c r="H59" s="30"/>
      <c r="I59" s="30"/>
      <c r="J59" s="30"/>
      <c r="K59" s="30"/>
      <c r="L59" s="30"/>
      <c r="M59" s="109"/>
      <c r="Z59" s="108"/>
      <c r="AA59" s="30"/>
      <c r="AB59" s="30"/>
      <c r="AC59" s="30"/>
      <c r="AD59" s="30"/>
      <c r="AE59" s="30"/>
      <c r="AF59" s="30"/>
      <c r="AG59" s="30"/>
      <c r="AH59" s="30"/>
      <c r="AI59" s="30"/>
      <c r="AJ59" s="109"/>
    </row>
    <row r="60" spans="3:36" ht="12">
      <c r="C60" s="108"/>
      <c r="D60" s="30"/>
      <c r="E60" s="30"/>
      <c r="F60" s="30"/>
      <c r="G60" s="30"/>
      <c r="H60" s="30"/>
      <c r="I60" s="30"/>
      <c r="J60" s="30"/>
      <c r="K60" s="30"/>
      <c r="L60" s="30"/>
      <c r="M60" s="109"/>
      <c r="Z60" s="108"/>
      <c r="AA60" s="30"/>
      <c r="AB60" s="30"/>
      <c r="AC60" s="30"/>
      <c r="AD60" s="30"/>
      <c r="AE60" s="30"/>
      <c r="AF60" s="30"/>
      <c r="AG60" s="30"/>
      <c r="AH60" s="30"/>
      <c r="AI60" s="30"/>
      <c r="AJ60" s="109"/>
    </row>
    <row r="61" spans="3:36" ht="12">
      <c r="C61" s="108"/>
      <c r="D61" s="30"/>
      <c r="E61" s="30"/>
      <c r="F61" s="30"/>
      <c r="G61" s="30"/>
      <c r="H61" s="30"/>
      <c r="I61" s="30"/>
      <c r="J61" s="30"/>
      <c r="K61" s="30"/>
      <c r="L61" s="30"/>
      <c r="M61" s="109"/>
      <c r="Z61" s="108"/>
      <c r="AA61" s="30"/>
      <c r="AB61" s="30"/>
      <c r="AC61" s="30"/>
      <c r="AD61" s="30"/>
      <c r="AE61" s="30"/>
      <c r="AF61" s="30"/>
      <c r="AG61" s="30"/>
      <c r="AH61" s="30"/>
      <c r="AI61" s="30"/>
      <c r="AJ61" s="109"/>
    </row>
    <row r="62" spans="3:36" ht="12">
      <c r="C62" s="114"/>
      <c r="D62" s="115"/>
      <c r="E62" s="115"/>
      <c r="F62" s="135"/>
      <c r="G62" s="115"/>
      <c r="H62" s="115"/>
      <c r="I62" s="115"/>
      <c r="J62" s="115"/>
      <c r="K62" s="135"/>
      <c r="L62" s="135"/>
      <c r="M62" s="116"/>
      <c r="Z62" s="114"/>
      <c r="AA62" s="115"/>
      <c r="AB62" s="115"/>
      <c r="AC62" s="135"/>
      <c r="AD62" s="115"/>
      <c r="AE62" s="115"/>
      <c r="AF62" s="115"/>
      <c r="AG62" s="115"/>
      <c r="AH62" s="135"/>
      <c r="AI62" s="135"/>
      <c r="AJ62" s="116"/>
    </row>
    <row r="63" spans="13:14" ht="12">
      <c r="M63" s="29"/>
      <c r="N63" s="29"/>
    </row>
    <row r="64" spans="13:14" ht="12">
      <c r="M64" s="29"/>
      <c r="N64" s="29"/>
    </row>
    <row r="65" spans="13:14" ht="12">
      <c r="M65" s="29"/>
      <c r="N65" s="29"/>
    </row>
    <row r="66" spans="5:14" ht="12">
      <c r="E66" s="69"/>
      <c r="F66" s="72"/>
      <c r="M66" s="29"/>
      <c r="N66" s="29"/>
    </row>
    <row r="67" spans="13:14" ht="12">
      <c r="M67" s="29"/>
      <c r="N67" s="29"/>
    </row>
    <row r="68" spans="13:14" ht="12">
      <c r="M68" s="29"/>
      <c r="N68" s="29"/>
    </row>
    <row r="69" spans="13:14" ht="12">
      <c r="M69" s="29"/>
      <c r="N69" s="29"/>
    </row>
    <row r="70" spans="13:14" ht="12">
      <c r="M70" s="29"/>
      <c r="N70" s="29"/>
    </row>
  </sheetData>
  <sheetProtection/>
  <mergeCells count="26">
    <mergeCell ref="AB5:AG5"/>
    <mergeCell ref="AF9:AF10"/>
    <mergeCell ref="AH9:AH10"/>
    <mergeCell ref="AI9:AI10"/>
    <mergeCell ref="AD9:AD10"/>
    <mergeCell ref="AB9:AB10"/>
    <mergeCell ref="AC9:AC10"/>
    <mergeCell ref="AH4:AJ4"/>
    <mergeCell ref="AH3:AJ3"/>
    <mergeCell ref="AB3:AG3"/>
    <mergeCell ref="AB4:AG4"/>
    <mergeCell ref="C3:D3"/>
    <mergeCell ref="D9:D10"/>
    <mergeCell ref="E9:E10"/>
    <mergeCell ref="F9:F10"/>
    <mergeCell ref="E3:J3"/>
    <mergeCell ref="E4:J4"/>
    <mergeCell ref="G9:G10"/>
    <mergeCell ref="I9:I10"/>
    <mergeCell ref="J9:J10"/>
    <mergeCell ref="Z3:AA3"/>
    <mergeCell ref="K9:K10"/>
    <mergeCell ref="L9:L10"/>
    <mergeCell ref="AA9:AA10"/>
    <mergeCell ref="K4:M4"/>
    <mergeCell ref="K3:M3"/>
  </mergeCells>
  <printOptions horizontalCentered="1"/>
  <pageMargins left="0.42" right="0.1968503937007874" top="0.48" bottom="0.15748031496062992" header="0.5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André Rosa</dc:creator>
  <cp:keywords/>
  <dc:description/>
  <cp:lastModifiedBy>Elio</cp:lastModifiedBy>
  <cp:lastPrinted>2014-06-18T18:52:51Z</cp:lastPrinted>
  <dcterms:created xsi:type="dcterms:W3CDTF">1997-08-08T17:32:12Z</dcterms:created>
  <dcterms:modified xsi:type="dcterms:W3CDTF">2014-06-18T18:55:38Z</dcterms:modified>
  <cp:category/>
  <cp:version/>
  <cp:contentType/>
  <cp:contentStatus/>
</cp:coreProperties>
</file>